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OP-FS1.mopani.gov.za\Users$\PootonaMR\My Documents\Budget and Reporting 2020_21\Adjustment Budget 2020_21\"/>
    </mc:Choice>
  </mc:AlternateContent>
  <bookViews>
    <workbookView xWindow="0" yWindow="0" windowWidth="20370" windowHeight="6990" tabRatio="940" firstSheet="1" activeTab="14"/>
  </bookViews>
  <sheets>
    <sheet name="COVER" sheetId="41" state="hidden" r:id="rId1"/>
    <sheet name="COVER 1" sheetId="57" r:id="rId2"/>
    <sheet name="SUMMARY PER FUNDING" sheetId="106" state="hidden" r:id="rId3"/>
    <sheet name="ORIGINAL VS ADJUSTED" sheetId="109" state="hidden" r:id="rId4"/>
    <sheet name="comparison" sheetId="115" state="hidden" r:id="rId5"/>
    <sheet name="SUMMARY" sheetId="2" r:id="rId6"/>
    <sheet name="Source of Funding" sheetId="123" r:id="rId7"/>
    <sheet name="Comparison per item" sheetId="117" r:id="rId8"/>
    <sheet name="Comparison per Dept" sheetId="116" r:id="rId9"/>
    <sheet name="COUNCIL" sheetId="18" r:id="rId10"/>
    <sheet name="MM" sheetId="17" r:id="rId11"/>
    <sheet name="CFO" sheetId="103" r:id="rId12"/>
    <sheet name="IA" sheetId="16" r:id="rId13"/>
    <sheet name="Budget and Reporting" sheetId="101" r:id="rId14"/>
    <sheet name="Expenditure" sheetId="102" r:id="rId15"/>
    <sheet name="Revenue Management" sheetId="105" r:id="rId16"/>
    <sheet name="Asset Management" sheetId="104" r:id="rId17"/>
    <sheet name="SCM" sheetId="15" r:id="rId18"/>
    <sheet name="GIS" sheetId="110" r:id="rId19"/>
    <sheet name="Spatial Planning" sheetId="111" r:id="rId20"/>
    <sheet name="P&amp;D" sheetId="14" r:id="rId21"/>
    <sheet name="LED" sheetId="13" r:id="rId22"/>
    <sheet name="IDP" sheetId="12" r:id="rId23"/>
    <sheet name="COMM" sheetId="11" r:id="rId24"/>
    <sheet name="ENGINEERING" sheetId="9" r:id="rId25"/>
    <sheet name="ENGI CAPITAL" sheetId="119" r:id="rId26"/>
    <sheet name="PMU" sheetId="38" r:id="rId27"/>
    <sheet name="PMU PROJECTS" sheetId="120" r:id="rId28"/>
    <sheet name="PMU CAPITAL" sheetId="99" r:id="rId29"/>
    <sheet name="WATER" sheetId="8" r:id="rId30"/>
    <sheet name="WATER (2)" sheetId="121" r:id="rId31"/>
    <sheet name="HEALTH" sheetId="7" r:id="rId32"/>
    <sheet name="ELECTRICAL" sheetId="6" r:id="rId33"/>
    <sheet name="ROADS" sheetId="5" r:id="rId34"/>
    <sheet name="COMMUNITY" sheetId="4" r:id="rId35"/>
    <sheet name="FIRE-BA PHALABORWA" sheetId="3" r:id="rId36"/>
    <sheet name="FIRE-GIYANI" sheetId="60" r:id="rId37"/>
    <sheet name="FIRE-LETABA" sheetId="61" r:id="rId38"/>
    <sheet name="FIRE-TZANEEN" sheetId="62" r:id="rId39"/>
    <sheet name="FIRE -MARULENG" sheetId="59" r:id="rId40"/>
    <sheet name="DISASTER" sheetId="24" r:id="rId41"/>
    <sheet name="CORPORATE" sheetId="23" r:id="rId42"/>
    <sheet name="HR" sheetId="22" r:id="rId43"/>
    <sheet name="ADMIN" sheetId="21" r:id="rId44"/>
    <sheet name="LEGAL" sheetId="20" r:id="rId45"/>
    <sheet name="IT" sheetId="42" r:id="rId46"/>
    <sheet name="IT CAPITAL" sheetId="43" r:id="rId47"/>
    <sheet name="OEM" sheetId="30" r:id="rId48"/>
    <sheet name="SPEAKER" sheetId="29" r:id="rId49"/>
    <sheet name="CHIEF WHIP" sheetId="28" r:id="rId50"/>
    <sheet name="DISABILITY" sheetId="27" r:id="rId51"/>
    <sheet name="SPORTS AND RECREATION" sheetId="112" r:id="rId52"/>
    <sheet name="GENDER" sheetId="26" r:id="rId53"/>
    <sheet name="YOUTH" sheetId="25" r:id="rId54"/>
    <sheet name="ENGINEERING CAPITAL" sheetId="33" state="hidden" r:id="rId55"/>
    <sheet name="Water Rev" sheetId="40" state="hidden" r:id="rId56"/>
    <sheet name="Sheet1" sheetId="37" state="hidden" r:id="rId57"/>
    <sheet name="LULEKANI SEWAGE WORKS" sheetId="66" r:id="rId58"/>
    <sheet name="NAMAKGALE SEWAGE WORKS" sheetId="80" r:id="rId59"/>
    <sheet name="NONDWENI WATER WORKS" sheetId="79" r:id="rId60"/>
    <sheet name="GIYANI WATER WORKS" sheetId="78" r:id="rId61"/>
    <sheet name="MAPUVE WATER WORKS" sheetId="77" r:id="rId62"/>
    <sheet name="MIDDLE LETABA WATER WORKS" sheetId="76" r:id="rId63"/>
    <sheet name="MUYEXE WATER WORKS" sheetId="74" r:id="rId64"/>
    <sheet name="GIYANI SEWAGE WORKS" sheetId="73" r:id="rId65"/>
    <sheet name="IK PONDS" sheetId="72" r:id="rId66"/>
    <sheet name="MODJADJI WATER WORKS" sheetId="71" r:id="rId67"/>
    <sheet name="KURANTA WATER PACKAGE PLANT" sheetId="70" r:id="rId68"/>
    <sheet name="KGAPANE SEWAGE WORKS" sheetId="69" r:id="rId69"/>
    <sheet name="SENWAMOKGOPE SEWAGE WORKS" sheetId="68" r:id="rId70"/>
    <sheet name="NKAMBAKO WATER WORKS" sheetId="67" r:id="rId71"/>
    <sheet name="THAPANE WATER WORKS" sheetId="65" r:id="rId72"/>
    <sheet name="THABINA WATER WORKS" sheetId="86" r:id="rId73"/>
    <sheet name="TOURS WATER WORKS" sheetId="85" r:id="rId74"/>
    <sheet name="SEMARELA WATER WORKS" sheetId="84" r:id="rId75"/>
    <sheet name="NKOWANKOWA WATER WORKS" sheetId="83" r:id="rId76"/>
    <sheet name="LENYENYE PONDS" sheetId="82" r:id="rId77"/>
    <sheet name="NKOWANKOWA SEWAGE WORKS" sheetId="90" r:id="rId78"/>
    <sheet name="THE OAKS WATER WORKS" sheetId="89" r:id="rId79"/>
    <sheet name="FINALE WATER WORKS" sheetId="88" r:id="rId80"/>
    <sheet name="SEKORORO WATER WORKS" sheetId="87" state="hidden" r:id="rId81"/>
    <sheet name="HOEDSPRUIT WATER PACKAGE PLANT" sheetId="92" state="hidden" r:id="rId82"/>
    <sheet name="KASERIE WATER WORKS" sheetId="91" state="hidden" r:id="rId83"/>
    <sheet name="MAMETJA SEKORORO SCHEME" sheetId="98" r:id="rId84"/>
    <sheet name="WATER QUALITY" sheetId="81" r:id="rId85"/>
    <sheet name="ELECTROMECHANICAL" sheetId="64" state="hidden" r:id="rId86"/>
    <sheet name="WORCESTER SCHEME" sheetId="95" r:id="rId87"/>
    <sheet name="SEKGOSESE SCHEME" sheetId="94" r:id="rId88"/>
    <sheet name="LOWER MOLOTOTSI" sheetId="93" r:id="rId89"/>
    <sheet name="SEKGOPO" sheetId="96" r:id="rId90"/>
    <sheet name="GREATER TZN WATER NETWORK" sheetId="51" state="hidden" r:id="rId91"/>
    <sheet name="ZAVA WATER WORKS" sheetId="75" state="hidden" r:id="rId92"/>
    <sheet name="BA PHALABORWA WATER" sheetId="44" r:id="rId93"/>
    <sheet name="BA PHALABORWA SEWER" sheetId="45" r:id="rId94"/>
    <sheet name="GREATER GIYANI WATER" sheetId="46" r:id="rId95"/>
    <sheet name="GREATER GIYANI SEWER" sheetId="47" r:id="rId96"/>
    <sheet name="GREATER LETABA WATER" sheetId="48" r:id="rId97"/>
    <sheet name="GREATER LETABA SEWERAGE" sheetId="49" r:id="rId98"/>
    <sheet name="GREATER TZN WATER PURIFICATION" sheetId="52" r:id="rId99"/>
    <sheet name="GREATER TZANEEN SEWERAGE" sheetId="53" r:id="rId100"/>
    <sheet name="MARULENG WATER &amp; SEWERAGE" sheetId="54" r:id="rId101"/>
    <sheet name="B&amp;T CAPITAL" sheetId="19" r:id="rId102"/>
    <sheet name="Communication CAPITAL" sheetId="118" r:id="rId103"/>
    <sheet name="FIRE CAPITAL" sheetId="32" r:id="rId104"/>
    <sheet name="DISASTER CAPITAL" sheetId="63" r:id="rId105"/>
    <sheet name="ADMINISTRATION CAPITAL" sheetId="31" r:id="rId106"/>
    <sheet name="SUMMARY REVENUE" sheetId="55" r:id="rId107"/>
    <sheet name="REVENUE" sheetId="10" r:id="rId108"/>
    <sheet name="Checks" sheetId="107" state="hidden" r:id="rId109"/>
    <sheet name="Sheet3" sheetId="56" state="hidden" r:id="rId110"/>
  </sheets>
  <definedNames>
    <definedName name="_xlnm.Print_Area" localSheetId="16">'Asset Management'!$A$1:$I$36</definedName>
    <definedName name="_xlnm.Print_Area" localSheetId="93">'BA PHALABORWA SEWER'!$A$1:$I$49</definedName>
    <definedName name="_xlnm.Print_Area" localSheetId="13">'Budget and Reporting'!$A$1:$I$31</definedName>
    <definedName name="_xlnm.Print_Area" localSheetId="11">CFO!$A$1:$I$39</definedName>
    <definedName name="_xlnm.Print_Area" localSheetId="23">COMM!$A$1:$I$31</definedName>
    <definedName name="_xlnm.Print_Area" localSheetId="34">COMMUNITY!$A$1:$I$33</definedName>
    <definedName name="_xlnm.Print_Area" localSheetId="0">COVER!$A$1:$Q$35</definedName>
    <definedName name="_xlnm.Print_Area" localSheetId="1">'COVER 1'!$A$1:$AT$92</definedName>
    <definedName name="_xlnm.Print_Area" localSheetId="40">DISASTER!$A$1:$I$65</definedName>
    <definedName name="_xlnm.Print_Area" localSheetId="24">ENGINEERING!$A$1:$I$35</definedName>
    <definedName name="_xlnm.Print_Area" localSheetId="14">Expenditure!$A$1:$I$32</definedName>
    <definedName name="_xlnm.Print_Area" localSheetId="35">'FIRE-BA PHALABORWA'!$A$1:$I$40</definedName>
    <definedName name="_xlnm.Print_Area" localSheetId="18">GIS!$A$1:$I$40</definedName>
    <definedName name="_xlnm.Print_Area" localSheetId="12">IA!$A$1:$H$31</definedName>
    <definedName name="_xlnm.Print_Area" localSheetId="22">IDP!$A$1:$I$25</definedName>
    <definedName name="_xlnm.Print_Area" localSheetId="45">IT!$A$1:$I$45</definedName>
    <definedName name="_xlnm.Print_Area" localSheetId="21">LED!$A$2:$I$48</definedName>
    <definedName name="_xlnm.Print_Area" localSheetId="44">LEGAL!$A$1:$I$28</definedName>
    <definedName name="_xlnm.Print_Area" localSheetId="100">'MARULENG WATER &amp; SEWERAGE'!$A$1:$L$43</definedName>
    <definedName name="_xlnm.Print_Area" localSheetId="20">'P&amp;D'!$A$1:$I$36</definedName>
    <definedName name="_xlnm.Print_Area" localSheetId="26">PMU!$A$1:$I$31</definedName>
    <definedName name="_xlnm.Print_Area" localSheetId="15">'Revenue Management'!$A$1:$I$34</definedName>
    <definedName name="_xlnm.Print_Area" localSheetId="33">ROADS!$A$1:$I$38</definedName>
    <definedName name="_xlnm.Print_Area" localSheetId="17">SCM!$A$1:$I$39</definedName>
    <definedName name="_xlnm.Print_Area" localSheetId="19">'Spatial Planning'!$A$1:$I$39</definedName>
    <definedName name="_xlnm.Print_Area" localSheetId="51">'SPORTS AND RECREATION'!$A$1:$I$38</definedName>
    <definedName name="_xlnm.Print_Area" localSheetId="106">'SUMMARY REVENUE'!$A$1:$I$32</definedName>
    <definedName name="_xlnm.Print_Area" localSheetId="29">WATER!$A$1:$I$64</definedName>
    <definedName name="_xlnm.Print_Area" localSheetId="30">'WATER (2)'!$A$1:$I$54</definedName>
  </definedNames>
  <calcPr calcId="162913"/>
</workbook>
</file>

<file path=xl/calcChain.xml><?xml version="1.0" encoding="utf-8"?>
<calcChain xmlns="http://schemas.openxmlformats.org/spreadsheetml/2006/main">
  <c r="E84" i="123" l="1"/>
  <c r="G23" i="55"/>
  <c r="B37" i="10"/>
  <c r="D100" i="116"/>
  <c r="D99" i="116"/>
  <c r="L86" i="123"/>
  <c r="L7" i="123"/>
  <c r="G39" i="10"/>
  <c r="G35" i="10"/>
  <c r="F30" i="10"/>
  <c r="F35" i="10" s="1"/>
  <c r="F37" i="10" s="1"/>
  <c r="F39" i="10" s="1"/>
  <c r="E30" i="10"/>
  <c r="E35" i="10" s="1"/>
  <c r="B35" i="10"/>
  <c r="L62" i="123"/>
  <c r="F33" i="29"/>
  <c r="F52" i="30"/>
  <c r="F42" i="30"/>
  <c r="F32" i="22"/>
  <c r="F22" i="23"/>
  <c r="F29" i="23"/>
  <c r="F46" i="24"/>
  <c r="F31" i="62"/>
  <c r="F34" i="5"/>
  <c r="F30" i="5"/>
  <c r="F28" i="5"/>
  <c r="F27" i="5"/>
  <c r="F20" i="6"/>
  <c r="F25" i="7"/>
  <c r="F47" i="8"/>
  <c r="F28" i="9"/>
  <c r="F28" i="11"/>
  <c r="F28" i="8"/>
  <c r="F25" i="8"/>
  <c r="F29" i="8"/>
  <c r="F26" i="8"/>
  <c r="F31" i="105" l="1"/>
  <c r="L61" i="123"/>
  <c r="L63" i="123"/>
  <c r="L73" i="123"/>
  <c r="L74" i="123"/>
  <c r="L75" i="123"/>
  <c r="L76" i="123"/>
  <c r="L77" i="123"/>
  <c r="L78" i="123"/>
  <c r="L79" i="123"/>
  <c r="L80" i="123"/>
  <c r="L81" i="123"/>
  <c r="L83" i="123"/>
  <c r="I84" i="123"/>
  <c r="I88" i="123" s="1"/>
  <c r="J84" i="123"/>
  <c r="J88" i="123" s="1"/>
  <c r="D20" i="123"/>
  <c r="E32" i="123"/>
  <c r="E7" i="123"/>
  <c r="C86" i="123"/>
  <c r="L87" i="123"/>
  <c r="D86" i="123"/>
  <c r="F10" i="99" l="1"/>
  <c r="F6" i="99"/>
  <c r="C7" i="99"/>
  <c r="D7" i="99"/>
  <c r="E7" i="99"/>
  <c r="G7" i="99"/>
  <c r="H7" i="99"/>
  <c r="B7" i="99"/>
  <c r="F26" i="38"/>
  <c r="F9" i="99"/>
  <c r="F11" i="99" s="1"/>
  <c r="F5" i="99"/>
  <c r="F7" i="99" s="1"/>
  <c r="C11" i="99"/>
  <c r="D11" i="99"/>
  <c r="E11" i="99"/>
  <c r="G11" i="99"/>
  <c r="H11" i="99"/>
  <c r="F13" i="99" l="1"/>
  <c r="J43" i="2" s="1"/>
  <c r="E13" i="99"/>
  <c r="C35" i="10"/>
  <c r="D35" i="10"/>
  <c r="E34" i="10"/>
  <c r="G43" i="121" l="1"/>
  <c r="G44" i="121"/>
  <c r="G45" i="121"/>
  <c r="G46" i="121"/>
  <c r="G47" i="121"/>
  <c r="G48" i="121"/>
  <c r="G49" i="121"/>
  <c r="F51" i="121"/>
  <c r="H51" i="121"/>
  <c r="I51" i="121"/>
  <c r="C51" i="121"/>
  <c r="E33" i="10"/>
  <c r="K32" i="120" l="1"/>
  <c r="H84" i="123" l="1"/>
  <c r="H88" i="123" s="1"/>
  <c r="E88" i="123"/>
  <c r="L88" i="123" s="1"/>
  <c r="F84" i="123"/>
  <c r="F88" i="123" s="1"/>
  <c r="G84" i="123"/>
  <c r="G88" i="123" s="1"/>
  <c r="D84" i="123"/>
  <c r="D88" i="123" s="1"/>
  <c r="D46" i="13" l="1"/>
  <c r="F46" i="13"/>
  <c r="E23" i="10"/>
  <c r="F22" i="18"/>
  <c r="G21" i="18"/>
  <c r="E21" i="18"/>
  <c r="G21" i="12"/>
  <c r="I52" i="121" l="1"/>
  <c r="I53" i="121"/>
  <c r="H53" i="121"/>
  <c r="F53" i="121"/>
  <c r="C53" i="121"/>
  <c r="G42" i="121"/>
  <c r="E42" i="121"/>
  <c r="G41" i="121"/>
  <c r="G40" i="121"/>
  <c r="G39" i="121"/>
  <c r="G38" i="121"/>
  <c r="G37" i="121"/>
  <c r="E37" i="121"/>
  <c r="G36" i="121"/>
  <c r="E36" i="121"/>
  <c r="G35" i="121"/>
  <c r="E35" i="121"/>
  <c r="G34" i="121"/>
  <c r="E34" i="121"/>
  <c r="G33" i="121"/>
  <c r="E33" i="121"/>
  <c r="G32" i="121"/>
  <c r="E32" i="121"/>
  <c r="G31" i="121"/>
  <c r="E31" i="121"/>
  <c r="G30" i="121"/>
  <c r="E30" i="121"/>
  <c r="G29" i="121"/>
  <c r="E29" i="121"/>
  <c r="G28" i="121"/>
  <c r="E28" i="121"/>
  <c r="G27" i="121"/>
  <c r="E27" i="121"/>
  <c r="G26" i="121"/>
  <c r="E26" i="121"/>
  <c r="G25" i="121"/>
  <c r="E25" i="121"/>
  <c r="G24" i="121"/>
  <c r="E24" i="121"/>
  <c r="G23" i="121"/>
  <c r="E23" i="121"/>
  <c r="G22" i="121"/>
  <c r="E22" i="121"/>
  <c r="G21" i="121"/>
  <c r="E21" i="121"/>
  <c r="G20" i="121"/>
  <c r="E20" i="121"/>
  <c r="G19" i="121"/>
  <c r="E19" i="121"/>
  <c r="G18" i="121"/>
  <c r="E18" i="121"/>
  <c r="G17" i="121"/>
  <c r="G16" i="121"/>
  <c r="E16" i="121"/>
  <c r="G15" i="121"/>
  <c r="E15" i="121"/>
  <c r="G14" i="121"/>
  <c r="E14" i="121"/>
  <c r="G13" i="121"/>
  <c r="E13" i="121"/>
  <c r="G12" i="121"/>
  <c r="E12" i="121"/>
  <c r="G11" i="121"/>
  <c r="E11" i="121"/>
  <c r="G10" i="121"/>
  <c r="E10" i="121"/>
  <c r="G9" i="121"/>
  <c r="E9" i="121"/>
  <c r="G8" i="121"/>
  <c r="E8" i="121"/>
  <c r="G7" i="121"/>
  <c r="E7" i="121"/>
  <c r="G6" i="121"/>
  <c r="E6" i="121"/>
  <c r="G5" i="121"/>
  <c r="D5" i="121"/>
  <c r="H30" i="120"/>
  <c r="F30" i="120"/>
  <c r="C30" i="120"/>
  <c r="B30" i="120"/>
  <c r="I7" i="120"/>
  <c r="I4" i="120"/>
  <c r="I30" i="120" s="1"/>
  <c r="G30" i="120"/>
  <c r="I5" i="119"/>
  <c r="H5" i="119"/>
  <c r="G5" i="119"/>
  <c r="F5" i="119"/>
  <c r="E5" i="119"/>
  <c r="D5" i="119"/>
  <c r="C5" i="119"/>
  <c r="B5" i="119"/>
  <c r="G4" i="119"/>
  <c r="G32" i="9"/>
  <c r="F21" i="103"/>
  <c r="D51" i="121" l="1"/>
  <c r="D53" i="121" s="1"/>
  <c r="G51" i="121"/>
  <c r="K43" i="2"/>
  <c r="G53" i="121"/>
  <c r="K20" i="2" s="1"/>
  <c r="E5" i="121"/>
  <c r="E30" i="120"/>
  <c r="D30" i="120"/>
  <c r="G7" i="43"/>
  <c r="G8" i="43"/>
  <c r="G9" i="43"/>
  <c r="E38" i="42"/>
  <c r="G38" i="42"/>
  <c r="E51" i="121" l="1"/>
  <c r="E53" i="121" s="1"/>
  <c r="I5" i="118"/>
  <c r="I6" i="118" s="1"/>
  <c r="H5" i="118"/>
  <c r="H6" i="118" s="1"/>
  <c r="F5" i="118"/>
  <c r="F6" i="118" s="1"/>
  <c r="D5" i="118"/>
  <c r="D6" i="118" s="1"/>
  <c r="C5" i="118"/>
  <c r="C6" i="118" s="1"/>
  <c r="B5" i="118"/>
  <c r="B6" i="118" s="1"/>
  <c r="G4" i="118"/>
  <c r="G5" i="118" s="1"/>
  <c r="G6" i="118" s="1"/>
  <c r="J18" i="2" s="1"/>
  <c r="E4" i="118"/>
  <c r="E5" i="118" s="1"/>
  <c r="E6" i="118" s="1"/>
  <c r="F26" i="101"/>
  <c r="B11" i="117" l="1"/>
  <c r="C7" i="117"/>
  <c r="D7" i="117" s="1"/>
  <c r="B14" i="117"/>
  <c r="F27" i="38" l="1"/>
  <c r="G33" i="9"/>
  <c r="K19" i="2" s="1"/>
  <c r="D33" i="9"/>
  <c r="E33" i="9"/>
  <c r="F33" i="9"/>
  <c r="H33" i="9"/>
  <c r="I33" i="9"/>
  <c r="E20" i="10"/>
  <c r="D25" i="17" l="1"/>
  <c r="F25" i="17"/>
  <c r="G41" i="17"/>
  <c r="G17" i="17"/>
  <c r="G19" i="17"/>
  <c r="G21" i="17"/>
  <c r="G22" i="17"/>
  <c r="G23" i="17"/>
  <c r="G24" i="17"/>
  <c r="G9" i="17"/>
  <c r="G10" i="17"/>
  <c r="G11" i="17"/>
  <c r="G12" i="17"/>
  <c r="E14" i="103"/>
  <c r="G14" i="103"/>
  <c r="D15" i="103"/>
  <c r="F15" i="103"/>
  <c r="D15" i="16"/>
  <c r="F15" i="16"/>
  <c r="C16" i="16"/>
  <c r="E16" i="16"/>
  <c r="B16" i="16"/>
  <c r="G15" i="102"/>
  <c r="G15" i="105"/>
  <c r="D16" i="105"/>
  <c r="F16" i="105"/>
  <c r="G15" i="104"/>
  <c r="G15" i="15"/>
  <c r="D37" i="15"/>
  <c r="F37" i="15"/>
  <c r="G15" i="110"/>
  <c r="D16" i="110"/>
  <c r="F16" i="110"/>
  <c r="G15" i="111"/>
  <c r="G35" i="111"/>
  <c r="G36" i="111"/>
  <c r="D37" i="111"/>
  <c r="F37" i="111"/>
  <c r="D11" i="14"/>
  <c r="F11" i="14"/>
  <c r="G10" i="14"/>
  <c r="G16" i="14"/>
  <c r="G17" i="14"/>
  <c r="G18" i="14"/>
  <c r="G16" i="13"/>
  <c r="G15" i="12"/>
  <c r="G15" i="11"/>
  <c r="E15" i="11"/>
  <c r="D16" i="11"/>
  <c r="F16" i="11"/>
  <c r="D17" i="9"/>
  <c r="F17" i="9"/>
  <c r="G16" i="9"/>
  <c r="G15" i="38"/>
  <c r="D16" i="38"/>
  <c r="F16" i="38"/>
  <c r="G15" i="7"/>
  <c r="G15" i="6"/>
  <c r="G18" i="5"/>
  <c r="D19" i="5"/>
  <c r="F19" i="5"/>
  <c r="G15" i="4"/>
  <c r="G18" i="3"/>
  <c r="D19" i="3"/>
  <c r="F19" i="3"/>
  <c r="G16" i="60"/>
  <c r="D17" i="60"/>
  <c r="F17" i="60"/>
  <c r="G18" i="61"/>
  <c r="D19" i="61"/>
  <c r="D14" i="62"/>
  <c r="F14" i="62"/>
  <c r="C14" i="62"/>
  <c r="G13" i="62"/>
  <c r="G16" i="59"/>
  <c r="D17" i="59"/>
  <c r="F17" i="59"/>
  <c r="C17" i="59"/>
  <c r="E18" i="24"/>
  <c r="E17" i="24"/>
  <c r="G17" i="24"/>
  <c r="G18" i="24"/>
  <c r="D19" i="24"/>
  <c r="F19" i="24"/>
  <c r="C19" i="24"/>
  <c r="G16" i="23"/>
  <c r="G16" i="22"/>
  <c r="G15" i="21"/>
  <c r="G16" i="21"/>
  <c r="D17" i="21"/>
  <c r="F17" i="21"/>
  <c r="G13" i="20"/>
  <c r="G15" i="42"/>
  <c r="G24" i="30"/>
  <c r="D25" i="30"/>
  <c r="F25" i="30"/>
  <c r="F23" i="29"/>
  <c r="F37" i="2" s="1"/>
  <c r="D23" i="29"/>
  <c r="C23" i="29"/>
  <c r="B23" i="29"/>
  <c r="G22" i="29"/>
  <c r="G23" i="29" s="1"/>
  <c r="E22" i="29"/>
  <c r="E23" i="29" s="1"/>
  <c r="H22" i="29"/>
  <c r="G16" i="29"/>
  <c r="G14" i="28"/>
  <c r="G12" i="28"/>
  <c r="D15" i="28"/>
  <c r="F15" i="28"/>
  <c r="G15" i="27"/>
  <c r="D16" i="27"/>
  <c r="F16" i="27"/>
  <c r="G15" i="112"/>
  <c r="D16" i="26"/>
  <c r="F16" i="26"/>
  <c r="G15" i="26"/>
  <c r="E15" i="26"/>
  <c r="G15" i="25"/>
  <c r="D16" i="25"/>
  <c r="F16" i="25"/>
  <c r="B16" i="11"/>
  <c r="D16" i="101"/>
  <c r="F16" i="101"/>
  <c r="G15" i="101"/>
  <c r="I22" i="29" l="1"/>
  <c r="I23" i="29" s="1"/>
  <c r="H23" i="29"/>
  <c r="E21" i="10" l="1"/>
  <c r="D33" i="38" s="1"/>
  <c r="E22" i="10"/>
  <c r="F23" i="21" l="1"/>
  <c r="G39" i="42" l="1"/>
  <c r="G17" i="8" l="1"/>
  <c r="G18" i="8"/>
  <c r="G7" i="8"/>
  <c r="G10" i="8"/>
  <c r="F20" i="8"/>
  <c r="G5" i="14"/>
  <c r="G6" i="17"/>
  <c r="D44" i="8"/>
  <c r="D35" i="103"/>
  <c r="D29" i="8"/>
  <c r="D19" i="66"/>
  <c r="D26" i="66" s="1"/>
  <c r="D20" i="80"/>
  <c r="D22" i="80" s="1"/>
  <c r="D27" i="79"/>
  <c r="D20" i="79"/>
  <c r="D27" i="77"/>
  <c r="D19" i="77"/>
  <c r="D19" i="76"/>
  <c r="D26" i="76"/>
  <c r="D19" i="74"/>
  <c r="D26" i="74"/>
  <c r="D19" i="73"/>
  <c r="D21" i="73" s="1"/>
  <c r="D19" i="72"/>
  <c r="D21" i="72" s="1"/>
  <c r="E18" i="71"/>
  <c r="E19" i="71" s="1"/>
  <c r="E23" i="71" s="1"/>
  <c r="D19" i="71"/>
  <c r="D23" i="71"/>
  <c r="D19" i="70"/>
  <c r="D26" i="70" s="1"/>
  <c r="D20" i="69"/>
  <c r="D26" i="69" s="1"/>
  <c r="D19" i="68"/>
  <c r="D21" i="68" s="1"/>
  <c r="D20" i="67"/>
  <c r="D27" i="67" s="1"/>
  <c r="D20" i="65"/>
  <c r="D28" i="65" s="1"/>
  <c r="D20" i="86"/>
  <c r="D27" i="86"/>
  <c r="D20" i="85"/>
  <c r="D27" i="85"/>
  <c r="E18" i="84"/>
  <c r="E19" i="84" s="1"/>
  <c r="E25" i="84" s="1"/>
  <c r="D19" i="84"/>
  <c r="D25" i="84"/>
  <c r="E18" i="83"/>
  <c r="F18" i="83" s="1"/>
  <c r="D19" i="82"/>
  <c r="D26" i="82" s="1"/>
  <c r="D19" i="90"/>
  <c r="D25" i="90"/>
  <c r="D20" i="89"/>
  <c r="D28" i="89" s="1"/>
  <c r="D19" i="88"/>
  <c r="D25" i="88" s="1"/>
  <c r="D28" i="98"/>
  <c r="D20" i="98"/>
  <c r="D25" i="81"/>
  <c r="D23" i="81"/>
  <c r="D28" i="95"/>
  <c r="D19" i="95"/>
  <c r="D25" i="94"/>
  <c r="D19" i="94"/>
  <c r="D20" i="93"/>
  <c r="D27" i="93" s="1"/>
  <c r="D19" i="96"/>
  <c r="D26" i="96" s="1"/>
  <c r="E33" i="44"/>
  <c r="D50" i="44"/>
  <c r="D52" i="44" s="1"/>
  <c r="D54" i="44" s="1"/>
  <c r="D39" i="44"/>
  <c r="D35" i="44"/>
  <c r="D31" i="44"/>
  <c r="D27" i="44"/>
  <c r="D19" i="44"/>
  <c r="D7" i="44"/>
  <c r="D44" i="45"/>
  <c r="D35" i="45"/>
  <c r="D30" i="45"/>
  <c r="D26" i="45"/>
  <c r="D18" i="45"/>
  <c r="D46" i="45" s="1"/>
  <c r="D49" i="45" s="1"/>
  <c r="F18" i="45"/>
  <c r="D7" i="45"/>
  <c r="E31" i="46"/>
  <c r="E7" i="46"/>
  <c r="D34" i="46"/>
  <c r="D36" i="46" s="1"/>
  <c r="D38" i="46" s="1"/>
  <c r="D29" i="46"/>
  <c r="D25" i="46"/>
  <c r="D18" i="46"/>
  <c r="D9" i="46"/>
  <c r="D31" i="47"/>
  <c r="D26" i="47"/>
  <c r="D17" i="47"/>
  <c r="D8" i="47"/>
  <c r="E5" i="48"/>
  <c r="D41" i="48"/>
  <c r="D43" i="48" s="1"/>
  <c r="D34" i="48"/>
  <c r="D31" i="48"/>
  <c r="D26" i="48"/>
  <c r="D23" i="48"/>
  <c r="D16" i="48"/>
  <c r="D7" i="48"/>
  <c r="E6" i="49"/>
  <c r="D36" i="49"/>
  <c r="D38" i="49" s="1"/>
  <c r="D40" i="49" s="1"/>
  <c r="D30" i="49"/>
  <c r="D25" i="49"/>
  <c r="D22" i="49"/>
  <c r="D16" i="49"/>
  <c r="D8" i="49"/>
  <c r="E54" i="52"/>
  <c r="E51" i="52"/>
  <c r="D75" i="52"/>
  <c r="D49" i="52"/>
  <c r="D77" i="52" s="1"/>
  <c r="D46" i="52"/>
  <c r="D43" i="52"/>
  <c r="D34" i="52"/>
  <c r="D30" i="52"/>
  <c r="D22" i="52"/>
  <c r="D9" i="52"/>
  <c r="E43" i="53"/>
  <c r="D60" i="53"/>
  <c r="D41" i="53"/>
  <c r="D33" i="53"/>
  <c r="D29" i="53"/>
  <c r="D20" i="53"/>
  <c r="D62" i="53" s="1"/>
  <c r="D8" i="53"/>
  <c r="D64" i="53" s="1"/>
  <c r="D43" i="54"/>
  <c r="D39" i="54"/>
  <c r="D33" i="54"/>
  <c r="D41" i="54" s="1"/>
  <c r="D29" i="54"/>
  <c r="D22" i="54"/>
  <c r="D10" i="54"/>
  <c r="G6" i="43"/>
  <c r="E10" i="43"/>
  <c r="E12" i="43" s="1"/>
  <c r="E6" i="43"/>
  <c r="E7" i="19"/>
  <c r="E9" i="19" s="1"/>
  <c r="E4" i="19"/>
  <c r="E5" i="19" s="1"/>
  <c r="E15" i="32"/>
  <c r="E14" i="32"/>
  <c r="E13" i="32"/>
  <c r="E16" i="32" s="1"/>
  <c r="E6" i="32"/>
  <c r="E7" i="32"/>
  <c r="E8" i="32"/>
  <c r="E9" i="32"/>
  <c r="E10" i="32"/>
  <c r="E5" i="32"/>
  <c r="E12" i="63"/>
  <c r="E13" i="63" s="1"/>
  <c r="E8" i="63"/>
  <c r="E9" i="63" s="1"/>
  <c r="E7" i="31"/>
  <c r="E9" i="31" s="1"/>
  <c r="E6" i="31"/>
  <c r="E5" i="31"/>
  <c r="G8" i="18"/>
  <c r="E8" i="18"/>
  <c r="E9" i="18"/>
  <c r="G7" i="18"/>
  <c r="E7" i="18"/>
  <c r="D4" i="29"/>
  <c r="D34" i="29"/>
  <c r="D26" i="29"/>
  <c r="D79" i="52" l="1"/>
  <c r="D45" i="48"/>
  <c r="E11" i="32"/>
  <c r="E18" i="32" s="1"/>
  <c r="D33" i="47"/>
  <c r="E11" i="19"/>
  <c r="D35" i="47"/>
  <c r="E15" i="63"/>
  <c r="F18" i="71"/>
  <c r="F18" i="84"/>
  <c r="E62" i="24" l="1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63" i="24" s="1"/>
  <c r="E30" i="24"/>
  <c r="E26" i="24"/>
  <c r="E25" i="24"/>
  <c r="E21" i="24"/>
  <c r="E22" i="24" s="1"/>
  <c r="E16" i="24"/>
  <c r="E15" i="24"/>
  <c r="E14" i="24"/>
  <c r="E13" i="24"/>
  <c r="E5" i="24"/>
  <c r="E6" i="24"/>
  <c r="E7" i="24"/>
  <c r="E8" i="24"/>
  <c r="E9" i="24"/>
  <c r="E10" i="24"/>
  <c r="E4" i="24"/>
  <c r="C24" i="10"/>
  <c r="C6" i="10"/>
  <c r="E26" i="25"/>
  <c r="E25" i="25"/>
  <c r="E24" i="25"/>
  <c r="E23" i="25"/>
  <c r="E22" i="25"/>
  <c r="E21" i="25"/>
  <c r="E14" i="25"/>
  <c r="E7" i="25"/>
  <c r="E30" i="26"/>
  <c r="E29" i="26"/>
  <c r="E28" i="26"/>
  <c r="E27" i="26"/>
  <c r="E26" i="26"/>
  <c r="E25" i="26"/>
  <c r="E24" i="26"/>
  <c r="E23" i="26"/>
  <c r="E19" i="26"/>
  <c r="E14" i="26"/>
  <c r="E7" i="26"/>
  <c r="E35" i="112"/>
  <c r="E34" i="112"/>
  <c r="E33" i="112"/>
  <c r="E32" i="112"/>
  <c r="E31" i="112"/>
  <c r="E30" i="112"/>
  <c r="E29" i="112"/>
  <c r="E28" i="112"/>
  <c r="E27" i="112"/>
  <c r="E26" i="112"/>
  <c r="E24" i="112"/>
  <c r="E23" i="112"/>
  <c r="E22" i="112"/>
  <c r="E14" i="112"/>
  <c r="E7" i="112"/>
  <c r="E21" i="27"/>
  <c r="E20" i="27"/>
  <c r="E19" i="27"/>
  <c r="E14" i="27"/>
  <c r="E7" i="27"/>
  <c r="E12" i="28"/>
  <c r="E6" i="28"/>
  <c r="E7" i="28"/>
  <c r="D20" i="28"/>
  <c r="E35" i="29"/>
  <c r="E34" i="29"/>
  <c r="E33" i="29"/>
  <c r="E32" i="29"/>
  <c r="E28" i="29"/>
  <c r="E27" i="29"/>
  <c r="E26" i="29"/>
  <c r="E15" i="29"/>
  <c r="E7" i="29"/>
  <c r="E8" i="29"/>
  <c r="E52" i="30"/>
  <c r="E51" i="30"/>
  <c r="E50" i="30"/>
  <c r="E49" i="30"/>
  <c r="E48" i="30"/>
  <c r="E47" i="30"/>
  <c r="E46" i="30"/>
  <c r="E45" i="30"/>
  <c r="E44" i="30"/>
  <c r="E43" i="30"/>
  <c r="E42" i="30"/>
  <c r="E38" i="30"/>
  <c r="E35" i="30"/>
  <c r="E23" i="30"/>
  <c r="E22" i="30"/>
  <c r="E21" i="30"/>
  <c r="E20" i="30"/>
  <c r="E18" i="30"/>
  <c r="E16" i="30"/>
  <c r="E5" i="30"/>
  <c r="E6" i="30"/>
  <c r="E9" i="30"/>
  <c r="E11" i="30"/>
  <c r="E40" i="42"/>
  <c r="E39" i="42"/>
  <c r="E37" i="42"/>
  <c r="E33" i="42"/>
  <c r="E32" i="42"/>
  <c r="E27" i="42"/>
  <c r="E23" i="42"/>
  <c r="E14" i="42"/>
  <c r="E7" i="42"/>
  <c r="E28" i="42"/>
  <c r="E22" i="20"/>
  <c r="E21" i="20"/>
  <c r="E13" i="20"/>
  <c r="E12" i="20"/>
  <c r="E7" i="20"/>
  <c r="E36" i="21"/>
  <c r="E35" i="21"/>
  <c r="E34" i="21"/>
  <c r="E33" i="21"/>
  <c r="E32" i="21"/>
  <c r="E31" i="21"/>
  <c r="E30" i="21"/>
  <c r="E23" i="21"/>
  <c r="E15" i="21"/>
  <c r="E8" i="21"/>
  <c r="E24" i="21"/>
  <c r="E35" i="22"/>
  <c r="E33" i="22"/>
  <c r="E31" i="22"/>
  <c r="E30" i="22"/>
  <c r="E29" i="22"/>
  <c r="E28" i="22"/>
  <c r="E26" i="22"/>
  <c r="E25" i="22"/>
  <c r="E24" i="22"/>
  <c r="E23" i="22"/>
  <c r="E15" i="22"/>
  <c r="E8" i="22"/>
  <c r="E15" i="23"/>
  <c r="E6" i="23"/>
  <c r="E8" i="23"/>
  <c r="E9" i="23"/>
  <c r="E30" i="59"/>
  <c r="E29" i="59"/>
  <c r="E28" i="59"/>
  <c r="E27" i="59"/>
  <c r="E26" i="59"/>
  <c r="E25" i="59"/>
  <c r="E24" i="59"/>
  <c r="E23" i="59"/>
  <c r="E31" i="59" s="1"/>
  <c r="E20" i="59"/>
  <c r="E19" i="59"/>
  <c r="E15" i="59"/>
  <c r="E14" i="59"/>
  <c r="E13" i="59"/>
  <c r="E17" i="59" s="1"/>
  <c r="E5" i="59"/>
  <c r="E6" i="59"/>
  <c r="E7" i="59"/>
  <c r="E8" i="59"/>
  <c r="E9" i="59"/>
  <c r="E10" i="59"/>
  <c r="E4" i="59"/>
  <c r="E21" i="59"/>
  <c r="E38" i="62"/>
  <c r="E37" i="62"/>
  <c r="E36" i="62"/>
  <c r="E35" i="62"/>
  <c r="E34" i="62"/>
  <c r="E33" i="62"/>
  <c r="E32" i="62"/>
  <c r="E31" i="62"/>
  <c r="E30" i="62"/>
  <c r="E29" i="62"/>
  <c r="E28" i="62"/>
  <c r="E27" i="62"/>
  <c r="E39" i="62" s="1"/>
  <c r="E26" i="62"/>
  <c r="E23" i="62"/>
  <c r="E22" i="62"/>
  <c r="E24" i="62" s="1"/>
  <c r="E21" i="62"/>
  <c r="E18" i="62"/>
  <c r="E17" i="62"/>
  <c r="E16" i="62"/>
  <c r="E5" i="62"/>
  <c r="E6" i="62"/>
  <c r="E7" i="62"/>
  <c r="E8" i="62"/>
  <c r="E9" i="62"/>
  <c r="E10" i="62"/>
  <c r="E11" i="62"/>
  <c r="E12" i="62"/>
  <c r="E4" i="62"/>
  <c r="E14" i="62" s="1"/>
  <c r="E33" i="61"/>
  <c r="E17" i="61"/>
  <c r="E8" i="61"/>
  <c r="E10" i="61"/>
  <c r="E9" i="60"/>
  <c r="E10" i="3"/>
  <c r="E14" i="4"/>
  <c r="E7" i="4"/>
  <c r="E35" i="5"/>
  <c r="E34" i="5"/>
  <c r="E33" i="5"/>
  <c r="E32" i="5"/>
  <c r="E31" i="5"/>
  <c r="E24" i="5"/>
  <c r="E25" i="5" s="1"/>
  <c r="E16" i="5"/>
  <c r="E9" i="5"/>
  <c r="E24" i="6"/>
  <c r="E23" i="6"/>
  <c r="E22" i="6"/>
  <c r="E14" i="6"/>
  <c r="E7" i="6"/>
  <c r="E19" i="62" l="1"/>
  <c r="E41" i="62" s="1"/>
  <c r="E19" i="24"/>
  <c r="E11" i="24"/>
  <c r="E11" i="59"/>
  <c r="C37" i="10"/>
  <c r="E33" i="59"/>
  <c r="E37" i="7"/>
  <c r="E36" i="7"/>
  <c r="E35" i="7"/>
  <c r="E34" i="7"/>
  <c r="E33" i="7"/>
  <c r="E32" i="7"/>
  <c r="E31" i="7"/>
  <c r="E30" i="7"/>
  <c r="E29" i="7"/>
  <c r="E28" i="7"/>
  <c r="E27" i="7"/>
  <c r="E26" i="7"/>
  <c r="E19" i="7"/>
  <c r="E20" i="7" s="1"/>
  <c r="E14" i="7"/>
  <c r="E7" i="7"/>
  <c r="E59" i="8"/>
  <c r="E58" i="8"/>
  <c r="E57" i="8"/>
  <c r="E56" i="8"/>
  <c r="E55" i="8"/>
  <c r="E54" i="8"/>
  <c r="E53" i="8"/>
  <c r="E52" i="8"/>
  <c r="E51" i="8"/>
  <c r="E50" i="8"/>
  <c r="E49" i="8"/>
  <c r="E48" i="8"/>
  <c r="E46" i="8"/>
  <c r="E44" i="8"/>
  <c r="E39" i="8"/>
  <c r="E40" i="8" s="1"/>
  <c r="E35" i="8"/>
  <c r="E29" i="8"/>
  <c r="E27" i="8"/>
  <c r="E25" i="8"/>
  <c r="E17" i="8"/>
  <c r="D23" i="8"/>
  <c r="E26" i="38"/>
  <c r="E21" i="38"/>
  <c r="E7" i="38"/>
  <c r="E29" i="9"/>
  <c r="E15" i="9"/>
  <c r="E8" i="9"/>
  <c r="E26" i="11"/>
  <c r="E25" i="11"/>
  <c r="E24" i="11"/>
  <c r="E22" i="11"/>
  <c r="E14" i="11"/>
  <c r="E8" i="11"/>
  <c r="E22" i="12"/>
  <c r="E21" i="12"/>
  <c r="E20" i="12"/>
  <c r="E14" i="12"/>
  <c r="E7" i="12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2" i="13"/>
  <c r="E15" i="13"/>
  <c r="E9" i="13"/>
  <c r="E32" i="14"/>
  <c r="E17" i="14"/>
  <c r="E16" i="14"/>
  <c r="E5" i="14"/>
  <c r="E8" i="14"/>
  <c r="E10" i="14"/>
  <c r="E34" i="111"/>
  <c r="E33" i="111"/>
  <c r="E32" i="111"/>
  <c r="E31" i="111"/>
  <c r="E30" i="111"/>
  <c r="E29" i="111"/>
  <c r="E28" i="111"/>
  <c r="E27" i="111"/>
  <c r="E26" i="111"/>
  <c r="E14" i="111"/>
  <c r="E7" i="111"/>
  <c r="E37" i="110"/>
  <c r="E36" i="110"/>
  <c r="E35" i="110"/>
  <c r="E34" i="110"/>
  <c r="E33" i="110"/>
  <c r="E32" i="110"/>
  <c r="E31" i="110"/>
  <c r="E30" i="110"/>
  <c r="E29" i="110"/>
  <c r="E28" i="110"/>
  <c r="E27" i="110"/>
  <c r="E25" i="110"/>
  <c r="E14" i="110"/>
  <c r="E7" i="110"/>
  <c r="E31" i="15"/>
  <c r="E14" i="15"/>
  <c r="E7" i="15"/>
  <c r="E32" i="104"/>
  <c r="E31" i="104"/>
  <c r="E14" i="104"/>
  <c r="E7" i="104"/>
  <c r="E31" i="105"/>
  <c r="E30" i="105"/>
  <c r="E29" i="105"/>
  <c r="E28" i="105"/>
  <c r="E24" i="105"/>
  <c r="E23" i="105"/>
  <c r="E22" i="105"/>
  <c r="E21" i="105"/>
  <c r="E14" i="105"/>
  <c r="E7" i="105"/>
  <c r="E32" i="105"/>
  <c r="E29" i="102"/>
  <c r="E27" i="102"/>
  <c r="E14" i="102"/>
  <c r="E7" i="102"/>
  <c r="E28" i="101"/>
  <c r="E27" i="101"/>
  <c r="E26" i="101"/>
  <c r="E14" i="101"/>
  <c r="E7" i="101"/>
  <c r="D28" i="16"/>
  <c r="D27" i="16"/>
  <c r="D26" i="16"/>
  <c r="D25" i="16"/>
  <c r="D24" i="16"/>
  <c r="D23" i="16"/>
  <c r="D22" i="16"/>
  <c r="D29" i="16" s="1"/>
  <c r="D19" i="16"/>
  <c r="D20" i="16" s="1"/>
  <c r="D14" i="16"/>
  <c r="D13" i="16"/>
  <c r="D12" i="16"/>
  <c r="D11" i="16"/>
  <c r="D5" i="16"/>
  <c r="D6" i="16"/>
  <c r="D7" i="16"/>
  <c r="D8" i="16"/>
  <c r="D4" i="16"/>
  <c r="D9" i="16" s="1"/>
  <c r="E36" i="103"/>
  <c r="E35" i="103"/>
  <c r="E37" i="103" s="1"/>
  <c r="E34" i="103"/>
  <c r="E33" i="103"/>
  <c r="E32" i="103"/>
  <c r="E31" i="103"/>
  <c r="E30" i="103"/>
  <c r="E29" i="103"/>
  <c r="E20" i="103"/>
  <c r="E6" i="103"/>
  <c r="E7" i="103"/>
  <c r="E8" i="103"/>
  <c r="E9" i="103"/>
  <c r="E11" i="103"/>
  <c r="E12" i="103"/>
  <c r="E13" i="103"/>
  <c r="E5" i="103"/>
  <c r="D42" i="17"/>
  <c r="F42" i="17"/>
  <c r="E41" i="17"/>
  <c r="E40" i="17"/>
  <c r="E39" i="17"/>
  <c r="E38" i="17"/>
  <c r="E37" i="17"/>
  <c r="E36" i="17"/>
  <c r="E31" i="17"/>
  <c r="E30" i="17"/>
  <c r="E32" i="17" s="1"/>
  <c r="E23" i="17"/>
  <c r="E22" i="17"/>
  <c r="E21" i="17"/>
  <c r="E19" i="17"/>
  <c r="E17" i="17"/>
  <c r="E6" i="17"/>
  <c r="E9" i="17"/>
  <c r="E10" i="17"/>
  <c r="E11" i="17"/>
  <c r="E12" i="17"/>
  <c r="E20" i="18"/>
  <c r="E18" i="18"/>
  <c r="E16" i="18"/>
  <c r="E6" i="18"/>
  <c r="E5" i="18"/>
  <c r="D36" i="29"/>
  <c r="D38" i="29" s="1"/>
  <c r="D20" i="29"/>
  <c r="D17" i="29"/>
  <c r="D10" i="29"/>
  <c r="D56" i="30"/>
  <c r="D54" i="30"/>
  <c r="D10" i="30"/>
  <c r="E10" i="30" s="1"/>
  <c r="G11" i="30"/>
  <c r="G5" i="30"/>
  <c r="D31" i="30"/>
  <c r="D28" i="30"/>
  <c r="D13" i="30"/>
  <c r="G21" i="30"/>
  <c r="G23" i="30"/>
  <c r="D4" i="28"/>
  <c r="D8" i="28" s="1"/>
  <c r="D22" i="28" s="1"/>
  <c r="D17" i="18"/>
  <c r="D22" i="18" s="1"/>
  <c r="D43" i="8"/>
  <c r="D15" i="8"/>
  <c r="D16" i="8"/>
  <c r="E16" i="8" s="1"/>
  <c r="D14" i="8"/>
  <c r="E14" i="8" s="1"/>
  <c r="D18" i="8"/>
  <c r="E18" i="8" s="1"/>
  <c r="D5" i="8"/>
  <c r="D4" i="8"/>
  <c r="E4" i="8" s="1"/>
  <c r="D11" i="8"/>
  <c r="D7" i="8"/>
  <c r="E7" i="8" s="1"/>
  <c r="D6" i="8"/>
  <c r="E6" i="8" s="1"/>
  <c r="D8" i="8"/>
  <c r="D13" i="63"/>
  <c r="D15" i="63" s="1"/>
  <c r="D9" i="63"/>
  <c r="D16" i="32"/>
  <c r="D11" i="32"/>
  <c r="D18" i="32" s="1"/>
  <c r="D9" i="19"/>
  <c r="D5" i="19"/>
  <c r="D34" i="104"/>
  <c r="D16" i="104"/>
  <c r="D9" i="104"/>
  <c r="D36" i="104" s="1"/>
  <c r="D10" i="18"/>
  <c r="D33" i="4"/>
  <c r="D31" i="4"/>
  <c r="D22" i="4"/>
  <c r="D19" i="4"/>
  <c r="D16" i="4"/>
  <c r="D9" i="4"/>
  <c r="E10" i="18" l="1"/>
  <c r="E26" i="105"/>
  <c r="D16" i="16"/>
  <c r="D31" i="16"/>
  <c r="D10" i="8"/>
  <c r="E10" i="8" s="1"/>
  <c r="D20" i="8"/>
  <c r="D26" i="8"/>
  <c r="E26" i="8" s="1"/>
  <c r="D28" i="8" l="1"/>
  <c r="E28" i="8" s="1"/>
  <c r="D60" i="8"/>
  <c r="D12" i="8"/>
  <c r="D40" i="8"/>
  <c r="F40" i="8"/>
  <c r="D37" i="8"/>
  <c r="F37" i="8"/>
  <c r="D35" i="42"/>
  <c r="E35" i="42" s="1"/>
  <c r="D4" i="9" l="1"/>
  <c r="D9" i="9"/>
  <c r="D30" i="9"/>
  <c r="D23" i="9"/>
  <c r="D20" i="9"/>
  <c r="D16" i="15"/>
  <c r="D9" i="15"/>
  <c r="D36" i="5"/>
  <c r="D25" i="5"/>
  <c r="D22" i="5"/>
  <c r="D11" i="5"/>
  <c r="D16" i="111"/>
  <c r="D9" i="111"/>
  <c r="D39" i="111" s="1"/>
  <c r="D9" i="112"/>
  <c r="D16" i="112"/>
  <c r="D36" i="112"/>
  <c r="D27" i="38"/>
  <c r="D19" i="38"/>
  <c r="D9" i="38"/>
  <c r="D31" i="38" s="1"/>
  <c r="D32" i="17"/>
  <c r="D28" i="17"/>
  <c r="D14" i="17"/>
  <c r="D28" i="25"/>
  <c r="D9" i="25"/>
  <c r="D31" i="26"/>
  <c r="D9" i="26"/>
  <c r="D33" i="26" s="1"/>
  <c r="D25" i="27"/>
  <c r="D23" i="27"/>
  <c r="D9" i="27"/>
  <c r="D23" i="11"/>
  <c r="E23" i="11" s="1"/>
  <c r="D9" i="11"/>
  <c r="D19" i="11"/>
  <c r="D10" i="43"/>
  <c r="D12" i="43" s="1"/>
  <c r="F10" i="43"/>
  <c r="F12" i="43" s="1"/>
  <c r="G10" i="43"/>
  <c r="G12" i="43" s="1"/>
  <c r="J35" i="2" s="1"/>
  <c r="G27" i="42"/>
  <c r="G28" i="42"/>
  <c r="D28" i="42"/>
  <c r="F28" i="42"/>
  <c r="G23" i="42"/>
  <c r="D20" i="78"/>
  <c r="D26" i="78" s="1"/>
  <c r="D20" i="83"/>
  <c r="D27" i="83" s="1"/>
  <c r="D41" i="42"/>
  <c r="D25" i="42"/>
  <c r="D19" i="42"/>
  <c r="D16" i="42"/>
  <c r="D9" i="42"/>
  <c r="D26" i="20"/>
  <c r="D17" i="20"/>
  <c r="D14" i="20"/>
  <c r="D9" i="20"/>
  <c r="D34" i="22"/>
  <c r="E34" i="22" s="1"/>
  <c r="D27" i="22"/>
  <c r="E27" i="22" s="1"/>
  <c r="G26" i="22"/>
  <c r="D36" i="22"/>
  <c r="E36" i="22" s="1"/>
  <c r="G29" i="22"/>
  <c r="D32" i="22"/>
  <c r="E32" i="22" s="1"/>
  <c r="D20" i="22"/>
  <c r="D17" i="22"/>
  <c r="D10" i="22"/>
  <c r="D38" i="7"/>
  <c r="D20" i="7"/>
  <c r="D16" i="7"/>
  <c r="D9" i="7"/>
  <c r="C29" i="16"/>
  <c r="C20" i="16"/>
  <c r="C9" i="16"/>
  <c r="H12" i="62"/>
  <c r="I12" i="62" s="1"/>
  <c r="G12" i="62"/>
  <c r="F17" i="61"/>
  <c r="F19" i="61" s="1"/>
  <c r="D39" i="62"/>
  <c r="D24" i="62"/>
  <c r="D19" i="62"/>
  <c r="D31" i="59"/>
  <c r="D21" i="59"/>
  <c r="D11" i="59"/>
  <c r="D34" i="61"/>
  <c r="F34" i="61"/>
  <c r="G17" i="61"/>
  <c r="F8" i="61"/>
  <c r="G8" i="61" s="1"/>
  <c r="G33" i="61"/>
  <c r="D23" i="61"/>
  <c r="D12" i="61"/>
  <c r="D37" i="22" l="1"/>
  <c r="D29" i="11"/>
  <c r="D10" i="9"/>
  <c r="D44" i="17"/>
  <c r="D35" i="9"/>
  <c r="D39" i="15"/>
  <c r="D38" i="5"/>
  <c r="D38" i="112"/>
  <c r="D30" i="25"/>
  <c r="D31" i="11"/>
  <c r="D28" i="20"/>
  <c r="D43" i="42"/>
  <c r="D39" i="22"/>
  <c r="D40" i="7"/>
  <c r="C31" i="16"/>
  <c r="D41" i="62"/>
  <c r="D33" i="59"/>
  <c r="D36" i="61"/>
  <c r="D31" i="8"/>
  <c r="D63" i="8" s="1"/>
  <c r="D32" i="60" l="1"/>
  <c r="D22" i="60"/>
  <c r="D11" i="60"/>
  <c r="D8" i="3"/>
  <c r="D38" i="3"/>
  <c r="D27" i="3"/>
  <c r="D23" i="3"/>
  <c r="D12" i="3"/>
  <c r="D9" i="105"/>
  <c r="D26" i="105"/>
  <c r="D32" i="105"/>
  <c r="G13" i="103"/>
  <c r="H13" i="103"/>
  <c r="G6" i="103"/>
  <c r="G7" i="103"/>
  <c r="G8" i="103"/>
  <c r="D37" i="103"/>
  <c r="D27" i="103"/>
  <c r="D24" i="103"/>
  <c r="D21" i="103"/>
  <c r="D11" i="19"/>
  <c r="D30" i="102"/>
  <c r="D16" i="102"/>
  <c r="D32" i="102" s="1"/>
  <c r="D9" i="102"/>
  <c r="D29" i="101"/>
  <c r="D9" i="101"/>
  <c r="D25" i="6"/>
  <c r="D16" i="6"/>
  <c r="D9" i="6"/>
  <c r="D27" i="6" s="1"/>
  <c r="D34" i="14"/>
  <c r="D26" i="14"/>
  <c r="D36" i="14" s="1"/>
  <c r="D23" i="14"/>
  <c r="D19" i="14"/>
  <c r="D24" i="24"/>
  <c r="E24" i="24" s="1"/>
  <c r="E27" i="24" s="1"/>
  <c r="E65" i="24" s="1"/>
  <c r="D63" i="24"/>
  <c r="D22" i="24"/>
  <c r="D11" i="24"/>
  <c r="D38" i="110"/>
  <c r="D23" i="110"/>
  <c r="D9" i="110"/>
  <c r="D20" i="13"/>
  <c r="D48" i="13" s="1"/>
  <c r="D17" i="13"/>
  <c r="D10" i="13"/>
  <c r="D23" i="12"/>
  <c r="D16" i="12"/>
  <c r="D9" i="12"/>
  <c r="G8" i="23"/>
  <c r="G9" i="23"/>
  <c r="F4" i="23"/>
  <c r="D10" i="23"/>
  <c r="F10" i="23"/>
  <c r="D31" i="23"/>
  <c r="D23" i="23"/>
  <c r="D20" i="23"/>
  <c r="D17" i="23"/>
  <c r="D37" i="21"/>
  <c r="D24" i="21"/>
  <c r="D20" i="21"/>
  <c r="D10" i="21"/>
  <c r="D39" i="21" s="1"/>
  <c r="D28" i="21"/>
  <c r="D27" i="24" l="1"/>
  <c r="D34" i="105"/>
  <c r="D34" i="60"/>
  <c r="D40" i="3"/>
  <c r="D39" i="103"/>
  <c r="I13" i="103"/>
  <c r="D31" i="101"/>
  <c r="D65" i="24"/>
  <c r="D40" i="110"/>
  <c r="D25" i="12"/>
  <c r="D33" i="23"/>
  <c r="D7" i="31"/>
  <c r="D9" i="31" s="1"/>
  <c r="H6" i="43"/>
  <c r="H10" i="43" s="1"/>
  <c r="H12" i="43" s="1"/>
  <c r="E27" i="10"/>
  <c r="E28" i="10"/>
  <c r="E29" i="10"/>
  <c r="E31" i="10"/>
  <c r="E32" i="10"/>
  <c r="E26" i="10"/>
  <c r="D24" i="10"/>
  <c r="D37" i="10" s="1"/>
  <c r="D39" i="10" s="1"/>
  <c r="E15" i="10"/>
  <c r="E16" i="10"/>
  <c r="E17" i="10"/>
  <c r="D32" i="38" s="1"/>
  <c r="D34" i="38" s="1"/>
  <c r="E18" i="10"/>
  <c r="E19" i="10"/>
  <c r="D6" i="10"/>
  <c r="E5" i="10"/>
  <c r="E4" i="10"/>
  <c r="C10" i="18"/>
  <c r="E6" i="10" l="1"/>
  <c r="I44" i="2"/>
  <c r="E4" i="55" l="1"/>
  <c r="C84" i="116"/>
  <c r="F20" i="78"/>
  <c r="F26" i="78" s="1"/>
  <c r="F20" i="79"/>
  <c r="F27" i="79" s="1"/>
  <c r="F20" i="80"/>
  <c r="F22" i="80" s="1"/>
  <c r="F19" i="66"/>
  <c r="F26" i="66" s="1"/>
  <c r="G26" i="25"/>
  <c r="G25" i="25"/>
  <c r="G24" i="25"/>
  <c r="G23" i="25"/>
  <c r="G22" i="25"/>
  <c r="G21" i="25"/>
  <c r="G14" i="25"/>
  <c r="G7" i="25"/>
  <c r="F28" i="25"/>
  <c r="F9" i="25"/>
  <c r="G30" i="26"/>
  <c r="G29" i="26"/>
  <c r="G28" i="26"/>
  <c r="G27" i="26"/>
  <c r="G26" i="26"/>
  <c r="G25" i="26"/>
  <c r="G24" i="26"/>
  <c r="G23" i="26"/>
  <c r="G19" i="26"/>
  <c r="G14" i="26"/>
  <c r="G7" i="26"/>
  <c r="F31" i="26"/>
  <c r="F9" i="26"/>
  <c r="G35" i="112"/>
  <c r="G34" i="112"/>
  <c r="G33" i="112"/>
  <c r="G32" i="112"/>
  <c r="G31" i="112"/>
  <c r="G30" i="112"/>
  <c r="G29" i="112"/>
  <c r="G28" i="112"/>
  <c r="G27" i="112"/>
  <c r="G26" i="112"/>
  <c r="G24" i="112"/>
  <c r="G23" i="112"/>
  <c r="G22" i="112"/>
  <c r="G14" i="112"/>
  <c r="G7" i="112"/>
  <c r="F36" i="112"/>
  <c r="F16" i="112"/>
  <c r="F9" i="112"/>
  <c r="G21" i="27"/>
  <c r="G20" i="27"/>
  <c r="G19" i="27"/>
  <c r="G14" i="27"/>
  <c r="G7" i="27"/>
  <c r="F23" i="27"/>
  <c r="F9" i="27"/>
  <c r="G6" i="28"/>
  <c r="F20" i="28"/>
  <c r="F8" i="28"/>
  <c r="G15" i="23"/>
  <c r="G6" i="23"/>
  <c r="F31" i="23"/>
  <c r="F23" i="23"/>
  <c r="F20" i="23"/>
  <c r="F17" i="23"/>
  <c r="F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6" i="24"/>
  <c r="G25" i="24"/>
  <c r="G24" i="24"/>
  <c r="G21" i="24"/>
  <c r="G22" i="24" s="1"/>
  <c r="D30" i="2" s="1"/>
  <c r="G16" i="24"/>
  <c r="G15" i="24"/>
  <c r="G14" i="24"/>
  <c r="G13" i="24"/>
  <c r="G19" i="24" s="1"/>
  <c r="G5" i="24"/>
  <c r="G6" i="24"/>
  <c r="G7" i="24"/>
  <c r="G8" i="24"/>
  <c r="G9" i="24"/>
  <c r="G10" i="24"/>
  <c r="G4" i="24"/>
  <c r="F27" i="24"/>
  <c r="F22" i="24"/>
  <c r="F11" i="24"/>
  <c r="G30" i="59"/>
  <c r="G29" i="59"/>
  <c r="G28" i="59"/>
  <c r="G27" i="59"/>
  <c r="G26" i="59"/>
  <c r="G25" i="59"/>
  <c r="G24" i="59"/>
  <c r="G23" i="59"/>
  <c r="G20" i="59"/>
  <c r="G19" i="59"/>
  <c r="G14" i="59"/>
  <c r="G15" i="59"/>
  <c r="G13" i="59"/>
  <c r="G17" i="59" s="1"/>
  <c r="G5" i="59"/>
  <c r="G6" i="59"/>
  <c r="G7" i="59"/>
  <c r="G8" i="59"/>
  <c r="G9" i="59"/>
  <c r="G10" i="59"/>
  <c r="G4" i="59"/>
  <c r="F31" i="59"/>
  <c r="F21" i="59"/>
  <c r="F11" i="59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3" i="62"/>
  <c r="G22" i="62"/>
  <c r="G21" i="62"/>
  <c r="G18" i="62"/>
  <c r="G17" i="62"/>
  <c r="G16" i="62"/>
  <c r="G5" i="62"/>
  <c r="G6" i="62"/>
  <c r="G7" i="62"/>
  <c r="G8" i="62"/>
  <c r="G9" i="62"/>
  <c r="G10" i="62"/>
  <c r="G11" i="62"/>
  <c r="G4" i="62"/>
  <c r="F39" i="62"/>
  <c r="F24" i="62"/>
  <c r="F19" i="62"/>
  <c r="G10" i="61"/>
  <c r="F23" i="61"/>
  <c r="F12" i="61"/>
  <c r="G9" i="60"/>
  <c r="F32" i="60"/>
  <c r="F22" i="60"/>
  <c r="F11" i="60"/>
  <c r="G10" i="3"/>
  <c r="F38" i="3"/>
  <c r="F27" i="3"/>
  <c r="F23" i="3"/>
  <c r="F12" i="3"/>
  <c r="G14" i="4"/>
  <c r="G7" i="4"/>
  <c r="F31" i="4"/>
  <c r="F22" i="4"/>
  <c r="F19" i="4"/>
  <c r="F16" i="4"/>
  <c r="F9" i="4"/>
  <c r="G21" i="38"/>
  <c r="G7" i="38"/>
  <c r="F19" i="38"/>
  <c r="F9" i="38"/>
  <c r="F31" i="38" s="1"/>
  <c r="G29" i="9"/>
  <c r="G19" i="2" s="1"/>
  <c r="G15" i="9"/>
  <c r="G8" i="9"/>
  <c r="F30" i="9"/>
  <c r="F23" i="9"/>
  <c r="F20" i="9"/>
  <c r="F10" i="9"/>
  <c r="F20" i="83"/>
  <c r="F27" i="83" s="1"/>
  <c r="G18" i="83"/>
  <c r="H18" i="83"/>
  <c r="I18" i="83" s="1"/>
  <c r="I21" i="83"/>
  <c r="F19" i="84"/>
  <c r="F25" i="84" s="1"/>
  <c r="G18" i="84"/>
  <c r="G19" i="84" s="1"/>
  <c r="F19" i="71"/>
  <c r="F23" i="71" s="1"/>
  <c r="G18" i="71"/>
  <c r="G19" i="71" s="1"/>
  <c r="F19" i="77"/>
  <c r="F27" i="77" s="1"/>
  <c r="G35" i="5"/>
  <c r="G34" i="5"/>
  <c r="G33" i="5"/>
  <c r="G32" i="5"/>
  <c r="G31" i="5"/>
  <c r="G24" i="5"/>
  <c r="G16" i="5"/>
  <c r="G9" i="5"/>
  <c r="F36" i="5"/>
  <c r="F25" i="5"/>
  <c r="G25" i="5"/>
  <c r="F23" i="2" s="1"/>
  <c r="F22" i="5"/>
  <c r="F11" i="5"/>
  <c r="G24" i="6"/>
  <c r="G23" i="6"/>
  <c r="G22" i="6"/>
  <c r="G14" i="6"/>
  <c r="G7" i="6"/>
  <c r="F25" i="6"/>
  <c r="F16" i="6"/>
  <c r="F9" i="6"/>
  <c r="G37" i="7"/>
  <c r="G36" i="7"/>
  <c r="G35" i="7"/>
  <c r="G34" i="7"/>
  <c r="G33" i="7"/>
  <c r="G32" i="7"/>
  <c r="G31" i="7"/>
  <c r="G30" i="7"/>
  <c r="G29" i="7"/>
  <c r="G28" i="7"/>
  <c r="G27" i="7"/>
  <c r="G26" i="7"/>
  <c r="G19" i="7"/>
  <c r="G20" i="7" s="1"/>
  <c r="F21" i="2" s="1"/>
  <c r="G14" i="7"/>
  <c r="G7" i="7"/>
  <c r="F38" i="7"/>
  <c r="F20" i="7"/>
  <c r="F16" i="7"/>
  <c r="F9" i="7"/>
  <c r="F19" i="14"/>
  <c r="F23" i="14"/>
  <c r="F26" i="14"/>
  <c r="F34" i="14"/>
  <c r="G32" i="14"/>
  <c r="G8" i="14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2" i="13"/>
  <c r="G15" i="13"/>
  <c r="G9" i="13"/>
  <c r="F17" i="13"/>
  <c r="F10" i="13"/>
  <c r="G22" i="12"/>
  <c r="G20" i="12"/>
  <c r="G14" i="12"/>
  <c r="G7" i="12"/>
  <c r="F23" i="12"/>
  <c r="F16" i="12"/>
  <c r="F9" i="12"/>
  <c r="F7" i="45"/>
  <c r="F26" i="45"/>
  <c r="F30" i="45"/>
  <c r="F35" i="45"/>
  <c r="F44" i="45"/>
  <c r="F34" i="46"/>
  <c r="G31" i="46"/>
  <c r="G7" i="46"/>
  <c r="F25" i="46"/>
  <c r="F29" i="46"/>
  <c r="F18" i="46"/>
  <c r="F9" i="46"/>
  <c r="F8" i="47"/>
  <c r="F17" i="47"/>
  <c r="F26" i="47"/>
  <c r="F31" i="47"/>
  <c r="G5" i="31"/>
  <c r="F36" i="29"/>
  <c r="G35" i="29"/>
  <c r="G34" i="29"/>
  <c r="G33" i="29"/>
  <c r="G32" i="29"/>
  <c r="G28" i="29"/>
  <c r="G27" i="29"/>
  <c r="G26" i="29"/>
  <c r="G15" i="29"/>
  <c r="G7" i="29"/>
  <c r="F20" i="29"/>
  <c r="F17" i="29"/>
  <c r="F10" i="29"/>
  <c r="G52" i="30"/>
  <c r="G51" i="30"/>
  <c r="G50" i="30"/>
  <c r="G49" i="30"/>
  <c r="G48" i="30"/>
  <c r="G47" i="30"/>
  <c r="G46" i="30"/>
  <c r="G45" i="30"/>
  <c r="G44" i="30"/>
  <c r="G43" i="30"/>
  <c r="G42" i="30"/>
  <c r="G38" i="30"/>
  <c r="G10" i="30"/>
  <c r="F31" i="30"/>
  <c r="F54" i="30" s="1"/>
  <c r="F28" i="30"/>
  <c r="F13" i="30"/>
  <c r="F25" i="42"/>
  <c r="F19" i="42"/>
  <c r="F16" i="42"/>
  <c r="F41" i="42"/>
  <c r="G40" i="42"/>
  <c r="G35" i="2" s="1"/>
  <c r="G37" i="42"/>
  <c r="G35" i="42"/>
  <c r="G33" i="42"/>
  <c r="G32" i="42"/>
  <c r="G14" i="42"/>
  <c r="G7" i="42"/>
  <c r="F9" i="42"/>
  <c r="G22" i="20"/>
  <c r="G21" i="20"/>
  <c r="G34" i="2" s="1"/>
  <c r="G12" i="20"/>
  <c r="F26" i="20"/>
  <c r="G7" i="20"/>
  <c r="F17" i="20"/>
  <c r="F14" i="20"/>
  <c r="F9" i="20"/>
  <c r="G36" i="21"/>
  <c r="G35" i="21"/>
  <c r="G34" i="21"/>
  <c r="G33" i="21"/>
  <c r="G32" i="21"/>
  <c r="G31" i="21"/>
  <c r="G30" i="21"/>
  <c r="G23" i="21"/>
  <c r="G22" i="21"/>
  <c r="G8" i="21"/>
  <c r="F37" i="21"/>
  <c r="F24" i="21"/>
  <c r="F20" i="21"/>
  <c r="F10" i="21"/>
  <c r="G5" i="48"/>
  <c r="F7" i="48"/>
  <c r="F16" i="48"/>
  <c r="F23" i="48"/>
  <c r="F26" i="48"/>
  <c r="F31" i="48"/>
  <c r="F34" i="48"/>
  <c r="F41" i="48"/>
  <c r="F25" i="49"/>
  <c r="F30" i="49"/>
  <c r="F36" i="49"/>
  <c r="G6" i="49"/>
  <c r="F22" i="49"/>
  <c r="F16" i="49"/>
  <c r="F8" i="49"/>
  <c r="G54" i="52"/>
  <c r="G51" i="52"/>
  <c r="F75" i="52"/>
  <c r="F49" i="52"/>
  <c r="F46" i="52"/>
  <c r="F43" i="52"/>
  <c r="F34" i="52"/>
  <c r="F30" i="52"/>
  <c r="F22" i="52"/>
  <c r="F9" i="52"/>
  <c r="G43" i="53"/>
  <c r="F8" i="53"/>
  <c r="F20" i="53"/>
  <c r="F29" i="53"/>
  <c r="F33" i="53"/>
  <c r="F41" i="53"/>
  <c r="F60" i="53"/>
  <c r="F39" i="54"/>
  <c r="F33" i="54"/>
  <c r="F29" i="54"/>
  <c r="F22" i="54"/>
  <c r="F10" i="54"/>
  <c r="F9" i="19"/>
  <c r="F5" i="19"/>
  <c r="G7" i="19"/>
  <c r="G9" i="19" s="1"/>
  <c r="G4" i="19"/>
  <c r="G5" i="19" s="1"/>
  <c r="F16" i="32"/>
  <c r="G15" i="32"/>
  <c r="G14" i="32"/>
  <c r="G13" i="32"/>
  <c r="F11" i="32"/>
  <c r="G6" i="32"/>
  <c r="G7" i="32"/>
  <c r="G8" i="32"/>
  <c r="G9" i="32"/>
  <c r="G10" i="32"/>
  <c r="G5" i="32"/>
  <c r="G12" i="63"/>
  <c r="G13" i="63" s="1"/>
  <c r="F13" i="63"/>
  <c r="F9" i="63"/>
  <c r="G8" i="63"/>
  <c r="G9" i="63" s="1"/>
  <c r="F7" i="31"/>
  <c r="F9" i="31" s="1"/>
  <c r="G6" i="31"/>
  <c r="G7" i="31" s="1"/>
  <c r="G9" i="31" s="1"/>
  <c r="J33" i="2" s="1"/>
  <c r="G36" i="22"/>
  <c r="G35" i="22"/>
  <c r="G34" i="22"/>
  <c r="G33" i="22"/>
  <c r="G32" i="22"/>
  <c r="G31" i="22"/>
  <c r="G30" i="22"/>
  <c r="G28" i="22"/>
  <c r="G27" i="22"/>
  <c r="G25" i="22"/>
  <c r="G24" i="22"/>
  <c r="G23" i="22"/>
  <c r="G15" i="22"/>
  <c r="G8" i="22"/>
  <c r="F37" i="22"/>
  <c r="F20" i="22"/>
  <c r="F17" i="22"/>
  <c r="F10" i="22"/>
  <c r="G34" i="111"/>
  <c r="G33" i="111"/>
  <c r="G32" i="111"/>
  <c r="G31" i="111"/>
  <c r="G30" i="111"/>
  <c r="G29" i="111"/>
  <c r="G28" i="111"/>
  <c r="G27" i="111"/>
  <c r="G26" i="111"/>
  <c r="G14" i="111"/>
  <c r="G7" i="111"/>
  <c r="F9" i="111"/>
  <c r="F50" i="44"/>
  <c r="F39" i="44"/>
  <c r="F35" i="44"/>
  <c r="G33" i="44"/>
  <c r="F31" i="44"/>
  <c r="F27" i="44"/>
  <c r="F19" i="44"/>
  <c r="F7" i="44"/>
  <c r="G25" i="11"/>
  <c r="G24" i="11"/>
  <c r="G23" i="11"/>
  <c r="G22" i="11"/>
  <c r="G14" i="11"/>
  <c r="G8" i="11"/>
  <c r="F19" i="11"/>
  <c r="F9" i="11"/>
  <c r="G26" i="11"/>
  <c r="G18" i="2" s="1"/>
  <c r="G37" i="110"/>
  <c r="G36" i="110"/>
  <c r="G35" i="110"/>
  <c r="G34" i="110"/>
  <c r="G33" i="110"/>
  <c r="G32" i="110"/>
  <c r="G31" i="110"/>
  <c r="G30" i="110"/>
  <c r="G29" i="110"/>
  <c r="G28" i="110"/>
  <c r="G27" i="110"/>
  <c r="G25" i="110"/>
  <c r="G14" i="110"/>
  <c r="G7" i="110"/>
  <c r="F38" i="110"/>
  <c r="F23" i="110"/>
  <c r="F9" i="110"/>
  <c r="G31" i="15"/>
  <c r="G14" i="15"/>
  <c r="G7" i="15"/>
  <c r="F16" i="15"/>
  <c r="F9" i="15"/>
  <c r="G32" i="104"/>
  <c r="G11" i="2" s="1"/>
  <c r="G31" i="104"/>
  <c r="G14" i="104"/>
  <c r="G7" i="104"/>
  <c r="G31" i="105"/>
  <c r="G10" i="2" s="1"/>
  <c r="G30" i="105"/>
  <c r="G29" i="105"/>
  <c r="G28" i="105"/>
  <c r="G24" i="105"/>
  <c r="G23" i="105"/>
  <c r="G22" i="105"/>
  <c r="G21" i="105"/>
  <c r="G14" i="105"/>
  <c r="G7" i="105"/>
  <c r="G29" i="102"/>
  <c r="G27" i="102"/>
  <c r="G14" i="102"/>
  <c r="G7" i="102"/>
  <c r="F28" i="16"/>
  <c r="F27" i="16"/>
  <c r="F26" i="16"/>
  <c r="F23" i="16"/>
  <c r="F22" i="16"/>
  <c r="F14" i="16"/>
  <c r="F7" i="16"/>
  <c r="E29" i="16"/>
  <c r="E20" i="16"/>
  <c r="E9" i="16"/>
  <c r="F30" i="102"/>
  <c r="F16" i="102"/>
  <c r="F9" i="102"/>
  <c r="F32" i="105"/>
  <c r="F26" i="105"/>
  <c r="F9" i="105"/>
  <c r="F34" i="104"/>
  <c r="F16" i="104"/>
  <c r="F9" i="104"/>
  <c r="G27" i="101"/>
  <c r="G26" i="101"/>
  <c r="G14" i="101"/>
  <c r="G7" i="101"/>
  <c r="G28" i="101"/>
  <c r="G8" i="2" s="1"/>
  <c r="F29" i="101"/>
  <c r="F9" i="101"/>
  <c r="G36" i="103"/>
  <c r="G35" i="103"/>
  <c r="G34" i="103"/>
  <c r="G33" i="103"/>
  <c r="G32" i="103"/>
  <c r="G31" i="103"/>
  <c r="G30" i="103"/>
  <c r="G29" i="103"/>
  <c r="G20" i="103"/>
  <c r="F37" i="103"/>
  <c r="F27" i="103"/>
  <c r="F24" i="103"/>
  <c r="G11" i="103"/>
  <c r="G39" i="17"/>
  <c r="G38" i="17"/>
  <c r="G37" i="17"/>
  <c r="G36" i="17"/>
  <c r="G31" i="17"/>
  <c r="G30" i="17"/>
  <c r="F14" i="17"/>
  <c r="F28" i="17"/>
  <c r="F32" i="17"/>
  <c r="F12" i="8"/>
  <c r="F23" i="8"/>
  <c r="F60" i="8"/>
  <c r="G59" i="8"/>
  <c r="G58" i="8"/>
  <c r="G57" i="8"/>
  <c r="G56" i="8"/>
  <c r="G55" i="8"/>
  <c r="G54" i="8"/>
  <c r="G53" i="8"/>
  <c r="G52" i="8"/>
  <c r="G51" i="8"/>
  <c r="G50" i="8"/>
  <c r="G49" i="8"/>
  <c r="G48" i="8"/>
  <c r="G46" i="8"/>
  <c r="G44" i="8"/>
  <c r="G35" i="8"/>
  <c r="F31" i="8"/>
  <c r="G29" i="8"/>
  <c r="G27" i="8"/>
  <c r="G26" i="8"/>
  <c r="G25" i="8"/>
  <c r="G16" i="8"/>
  <c r="G14" i="8"/>
  <c r="G6" i="8"/>
  <c r="G4" i="8"/>
  <c r="G28" i="8"/>
  <c r="F13" i="18"/>
  <c r="G20" i="18"/>
  <c r="G18" i="18"/>
  <c r="G16" i="18"/>
  <c r="F10" i="18"/>
  <c r="G9" i="18"/>
  <c r="F40" i="7" l="1"/>
  <c r="F38" i="29"/>
  <c r="F77" i="52"/>
  <c r="G14" i="62"/>
  <c r="F46" i="45"/>
  <c r="F63" i="8"/>
  <c r="F24" i="18"/>
  <c r="C29" i="2"/>
  <c r="F18" i="32"/>
  <c r="G16" i="32"/>
  <c r="F56" i="30"/>
  <c r="G11" i="24"/>
  <c r="B30" i="2" s="1"/>
  <c r="F39" i="111"/>
  <c r="F34" i="105"/>
  <c r="G24" i="21"/>
  <c r="F33" i="2" s="1"/>
  <c r="F41" i="62"/>
  <c r="G11" i="32"/>
  <c r="F11" i="19"/>
  <c r="G11" i="19"/>
  <c r="F41" i="54"/>
  <c r="F43" i="54" s="1"/>
  <c r="F62" i="53"/>
  <c r="F64" i="53"/>
  <c r="F79" i="52"/>
  <c r="F38" i="49"/>
  <c r="F40" i="49"/>
  <c r="F33" i="47"/>
  <c r="F35" i="47" s="1"/>
  <c r="F36" i="46"/>
  <c r="F38" i="46" s="1"/>
  <c r="F49" i="45"/>
  <c r="G25" i="84"/>
  <c r="F61" i="2"/>
  <c r="L61" i="2" s="1"/>
  <c r="B61" i="116" s="1"/>
  <c r="D61" i="116" s="1"/>
  <c r="G23" i="71"/>
  <c r="F53" i="2"/>
  <c r="F30" i="25"/>
  <c r="F33" i="26"/>
  <c r="F38" i="112"/>
  <c r="F25" i="27"/>
  <c r="F22" i="28"/>
  <c r="F43" i="42"/>
  <c r="F39" i="21"/>
  <c r="F39" i="22"/>
  <c r="F33" i="23"/>
  <c r="G63" i="24"/>
  <c r="I30" i="2" s="1"/>
  <c r="G27" i="24"/>
  <c r="F30" i="2" s="1"/>
  <c r="F65" i="24"/>
  <c r="F33" i="59"/>
  <c r="G21" i="59"/>
  <c r="F29" i="2" s="1"/>
  <c r="G19" i="62"/>
  <c r="C28" i="2" s="1"/>
  <c r="G24" i="62"/>
  <c r="F28" i="2" s="1"/>
  <c r="F36" i="61"/>
  <c r="F34" i="60"/>
  <c r="F40" i="3"/>
  <c r="F33" i="4"/>
  <c r="F38" i="5"/>
  <c r="F27" i="6"/>
  <c r="F35" i="9"/>
  <c r="F25" i="12"/>
  <c r="F48" i="13"/>
  <c r="F36" i="14"/>
  <c r="F40" i="110"/>
  <c r="F36" i="104"/>
  <c r="G32" i="105"/>
  <c r="I10" i="2" s="1"/>
  <c r="G26" i="105"/>
  <c r="F10" i="2" s="1"/>
  <c r="F32" i="102"/>
  <c r="E31" i="16"/>
  <c r="G5" i="2"/>
  <c r="G32" i="17"/>
  <c r="F43" i="48"/>
  <c r="F45" i="48" s="1"/>
  <c r="B28" i="2"/>
  <c r="G11" i="59"/>
  <c r="B29" i="2" s="1"/>
  <c r="G31" i="59"/>
  <c r="I29" i="2" s="1"/>
  <c r="G39" i="62"/>
  <c r="F52" i="44"/>
  <c r="F54" i="44" s="1"/>
  <c r="F15" i="63"/>
  <c r="G15" i="63"/>
  <c r="J30" i="2" s="1"/>
  <c r="F28" i="20"/>
  <c r="F39" i="15"/>
  <c r="F44" i="17"/>
  <c r="F31" i="101"/>
  <c r="F39" i="103"/>
  <c r="G37" i="103"/>
  <c r="I7" i="2" s="1"/>
  <c r="B14" i="10"/>
  <c r="E14" i="10" s="1"/>
  <c r="E24" i="10" s="1"/>
  <c r="E37" i="10" s="1"/>
  <c r="B8" i="49"/>
  <c r="C44" i="53"/>
  <c r="C63" i="24"/>
  <c r="C31" i="59"/>
  <c r="C39" i="62"/>
  <c r="C19" i="62"/>
  <c r="M17" i="30"/>
  <c r="N17" i="30"/>
  <c r="O17" i="30"/>
  <c r="L17" i="30"/>
  <c r="C15" i="30"/>
  <c r="C19" i="29"/>
  <c r="C27" i="30"/>
  <c r="C18" i="42"/>
  <c r="C16" i="20"/>
  <c r="C19" i="21"/>
  <c r="C19" i="22"/>
  <c r="C19" i="23"/>
  <c r="C22" i="3"/>
  <c r="C18" i="4"/>
  <c r="H18" i="4" s="1"/>
  <c r="H19" i="4" s="1"/>
  <c r="C21" i="5"/>
  <c r="H21" i="5" s="1"/>
  <c r="C22" i="8"/>
  <c r="C24" i="38"/>
  <c r="C22" i="38"/>
  <c r="C27" i="9"/>
  <c r="C26" i="9"/>
  <c r="C19" i="9"/>
  <c r="H19" i="9" s="1"/>
  <c r="C18" i="11"/>
  <c r="E18" i="11" s="1"/>
  <c r="E19" i="11" s="1"/>
  <c r="C28" i="11"/>
  <c r="E28" i="11" s="1"/>
  <c r="C27" i="11"/>
  <c r="C19" i="12"/>
  <c r="H19" i="12" s="1"/>
  <c r="I19" i="12" s="1"/>
  <c r="C23" i="13"/>
  <c r="C19" i="13"/>
  <c r="C30" i="14"/>
  <c r="C31" i="14"/>
  <c r="C29" i="14"/>
  <c r="C22" i="14"/>
  <c r="C25" i="111"/>
  <c r="C26" i="110"/>
  <c r="C30" i="15"/>
  <c r="C30" i="104"/>
  <c r="C26" i="102"/>
  <c r="C25" i="102"/>
  <c r="C23" i="102"/>
  <c r="C22" i="102"/>
  <c r="C21" i="102"/>
  <c r="C25" i="101"/>
  <c r="F19" i="16"/>
  <c r="F20" i="16" s="1"/>
  <c r="D6" i="2" s="1"/>
  <c r="B20" i="16"/>
  <c r="C23" i="103"/>
  <c r="E23" i="103" s="1"/>
  <c r="E24" i="103" s="1"/>
  <c r="H34" i="103"/>
  <c r="I34" i="103" s="1"/>
  <c r="H32" i="103"/>
  <c r="I32" i="103" s="1"/>
  <c r="C35" i="17"/>
  <c r="C34" i="17"/>
  <c r="C27" i="17"/>
  <c r="E27" i="17" s="1"/>
  <c r="E28" i="17" s="1"/>
  <c r="H16" i="32"/>
  <c r="I16" i="32"/>
  <c r="H11" i="32"/>
  <c r="H18" i="32" s="1"/>
  <c r="I11" i="32"/>
  <c r="B29" i="60"/>
  <c r="C29" i="60"/>
  <c r="G6" i="10"/>
  <c r="H21" i="20"/>
  <c r="I21" i="20" s="1"/>
  <c r="I22" i="20"/>
  <c r="I22" i="24"/>
  <c r="H17" i="109"/>
  <c r="H13" i="63"/>
  <c r="I13" i="63"/>
  <c r="H9" i="63"/>
  <c r="I9" i="63"/>
  <c r="C9" i="63"/>
  <c r="H5" i="19"/>
  <c r="I5" i="19"/>
  <c r="I11" i="19" s="1"/>
  <c r="H24" i="21"/>
  <c r="I24" i="21"/>
  <c r="H7" i="31"/>
  <c r="H9" i="31" s="1"/>
  <c r="I7" i="31"/>
  <c r="I9" i="31" s="1"/>
  <c r="H28" i="42"/>
  <c r="I28" i="42"/>
  <c r="H32" i="17"/>
  <c r="I32" i="17"/>
  <c r="C32" i="17"/>
  <c r="I21" i="111"/>
  <c r="H7" i="29"/>
  <c r="I7" i="29" s="1"/>
  <c r="B7" i="63"/>
  <c r="C7" i="63"/>
  <c r="H7" i="63"/>
  <c r="B9" i="63"/>
  <c r="C13" i="63"/>
  <c r="I9" i="19"/>
  <c r="C4" i="7"/>
  <c r="H7" i="27"/>
  <c r="I7" i="27" s="1"/>
  <c r="H6" i="28"/>
  <c r="I6" i="28" s="1"/>
  <c r="H7" i="112"/>
  <c r="I7" i="112" s="1"/>
  <c r="H7" i="26"/>
  <c r="I7" i="26" s="1"/>
  <c r="H7" i="25"/>
  <c r="I7" i="25" s="1"/>
  <c r="H10" i="30"/>
  <c r="I10" i="30" s="1"/>
  <c r="H7" i="42"/>
  <c r="I7" i="42" s="1"/>
  <c r="H7" i="20"/>
  <c r="I7" i="20"/>
  <c r="H8" i="21"/>
  <c r="I8" i="21" s="1"/>
  <c r="H8" i="22"/>
  <c r="I8" i="22" s="1"/>
  <c r="H6" i="23"/>
  <c r="I6" i="23" s="1"/>
  <c r="H9" i="24"/>
  <c r="I9" i="24" s="1"/>
  <c r="H9" i="59"/>
  <c r="I9" i="59" s="1"/>
  <c r="H10" i="62"/>
  <c r="I10" i="62" s="1"/>
  <c r="H10" i="61"/>
  <c r="I10" i="61" s="1"/>
  <c r="H9" i="60"/>
  <c r="I9" i="60" s="1"/>
  <c r="H10" i="3"/>
  <c r="I10" i="3" s="1"/>
  <c r="H7" i="4"/>
  <c r="I7" i="4" s="1"/>
  <c r="H9" i="5"/>
  <c r="I9" i="5" s="1"/>
  <c r="H7" i="6"/>
  <c r="I7" i="6" s="1"/>
  <c r="H7" i="7"/>
  <c r="I7" i="7" s="1"/>
  <c r="H10" i="8"/>
  <c r="I10" i="8" s="1"/>
  <c r="H7" i="38"/>
  <c r="I7" i="38" s="1"/>
  <c r="H8" i="9"/>
  <c r="I8" i="9" s="1"/>
  <c r="H8" i="11"/>
  <c r="I8" i="11" s="1"/>
  <c r="H7" i="12"/>
  <c r="I7" i="12" s="1"/>
  <c r="H9" i="13"/>
  <c r="I9" i="13" s="1"/>
  <c r="H8" i="14"/>
  <c r="I8" i="14" s="1"/>
  <c r="H7" i="111"/>
  <c r="I7" i="111" s="1"/>
  <c r="H7" i="110"/>
  <c r="I7" i="110" s="1"/>
  <c r="H7" i="15"/>
  <c r="I7" i="15" s="1"/>
  <c r="H7" i="104"/>
  <c r="I7" i="104" s="1"/>
  <c r="H7" i="105"/>
  <c r="I7" i="105" s="1"/>
  <c r="H7" i="102"/>
  <c r="I7" i="102" s="1"/>
  <c r="H7" i="101"/>
  <c r="I7" i="101" s="1"/>
  <c r="H11" i="103"/>
  <c r="I11" i="103" s="1"/>
  <c r="G7" i="16"/>
  <c r="H7" i="16" s="1"/>
  <c r="H10" i="17"/>
  <c r="I10" i="17" s="1"/>
  <c r="C19" i="18"/>
  <c r="E19" i="18" s="1"/>
  <c r="C15" i="18"/>
  <c r="C12" i="18"/>
  <c r="E12" i="18" s="1"/>
  <c r="C11" i="18"/>
  <c r="H9" i="18"/>
  <c r="I9" i="18" s="1"/>
  <c r="G6" i="18"/>
  <c r="H6" i="18"/>
  <c r="I6" i="18" s="1"/>
  <c r="G5" i="18"/>
  <c r="C5" i="17"/>
  <c r="C7" i="17"/>
  <c r="E7" i="17" s="1"/>
  <c r="C8" i="17"/>
  <c r="C13" i="17"/>
  <c r="G13" i="17" s="1"/>
  <c r="C16" i="17"/>
  <c r="C25" i="17" s="1"/>
  <c r="C18" i="17"/>
  <c r="G18" i="17" s="1"/>
  <c r="C20" i="17"/>
  <c r="G20" i="17" s="1"/>
  <c r="H34" i="17"/>
  <c r="I34" i="17" s="1"/>
  <c r="I43" i="17"/>
  <c r="I33" i="17"/>
  <c r="I26" i="17"/>
  <c r="I15" i="17"/>
  <c r="F4" i="16"/>
  <c r="G4" i="16"/>
  <c r="H4" i="16" s="1"/>
  <c r="F6" i="16"/>
  <c r="F11" i="16"/>
  <c r="G11" i="16"/>
  <c r="H11" i="16" s="1"/>
  <c r="F13" i="16"/>
  <c r="G13" i="16"/>
  <c r="H13" i="16" s="1"/>
  <c r="G27" i="16"/>
  <c r="H27" i="16" s="1"/>
  <c r="H21" i="16"/>
  <c r="H30" i="16"/>
  <c r="H18" i="16"/>
  <c r="H17" i="16"/>
  <c r="H10" i="16"/>
  <c r="G5" i="103"/>
  <c r="C10" i="103"/>
  <c r="C15" i="103" s="1"/>
  <c r="G12" i="103"/>
  <c r="C17" i="103"/>
  <c r="E17" i="103" s="1"/>
  <c r="C18" i="103"/>
  <c r="C19" i="103"/>
  <c r="E19" i="103" s="1"/>
  <c r="H36" i="103"/>
  <c r="I36" i="103" s="1"/>
  <c r="C26" i="103"/>
  <c r="E26" i="103" s="1"/>
  <c r="E27" i="103" s="1"/>
  <c r="H33" i="103"/>
  <c r="I33" i="103" s="1"/>
  <c r="I38" i="103"/>
  <c r="I28" i="103"/>
  <c r="I25" i="103"/>
  <c r="I22" i="103"/>
  <c r="I16" i="103"/>
  <c r="C4" i="101"/>
  <c r="H4" i="101" s="1"/>
  <c r="I4" i="101" s="1"/>
  <c r="C5" i="101"/>
  <c r="C6" i="101"/>
  <c r="C8" i="101"/>
  <c r="C11" i="101"/>
  <c r="C12" i="101"/>
  <c r="C13" i="101"/>
  <c r="C18" i="101"/>
  <c r="H18" i="101" s="1"/>
  <c r="C21" i="101"/>
  <c r="C22" i="101"/>
  <c r="H22" i="101" s="1"/>
  <c r="I22" i="101" s="1"/>
  <c r="H26" i="101"/>
  <c r="I26" i="101" s="1"/>
  <c r="I30" i="101"/>
  <c r="I20" i="101"/>
  <c r="I17" i="101"/>
  <c r="I10" i="101"/>
  <c r="C4" i="102"/>
  <c r="H4" i="102" s="1"/>
  <c r="C5" i="102"/>
  <c r="E5" i="102" s="1"/>
  <c r="C6" i="102"/>
  <c r="H6" i="102" s="1"/>
  <c r="I6" i="102" s="1"/>
  <c r="C8" i="102"/>
  <c r="E8" i="102" s="1"/>
  <c r="C11" i="102"/>
  <c r="C12" i="102"/>
  <c r="E12" i="102" s="1"/>
  <c r="C13" i="102"/>
  <c r="E13" i="102" s="1"/>
  <c r="C28" i="102"/>
  <c r="H28" i="102" s="1"/>
  <c r="I28" i="102" s="1"/>
  <c r="C18" i="102"/>
  <c r="H18" i="102" s="1"/>
  <c r="H21" i="102"/>
  <c r="I21" i="102"/>
  <c r="H22" i="102"/>
  <c r="I22" i="102" s="1"/>
  <c r="H25" i="102"/>
  <c r="I25" i="102" s="1"/>
  <c r="H27" i="102"/>
  <c r="I27" i="102"/>
  <c r="I31" i="102"/>
  <c r="I20" i="102"/>
  <c r="I10" i="102"/>
  <c r="C4" i="105"/>
  <c r="H4" i="105" s="1"/>
  <c r="I4" i="105" s="1"/>
  <c r="C5" i="105"/>
  <c r="E5" i="105" s="1"/>
  <c r="C6" i="105"/>
  <c r="H6" i="105" s="1"/>
  <c r="I6" i="105" s="1"/>
  <c r="C8" i="105"/>
  <c r="C11" i="105"/>
  <c r="H11" i="105"/>
  <c r="I11" i="105" s="1"/>
  <c r="C12" i="105"/>
  <c r="E12" i="105" s="1"/>
  <c r="C13" i="105"/>
  <c r="H30" i="105"/>
  <c r="I30" i="105" s="1"/>
  <c r="C18" i="105"/>
  <c r="H18" i="105" s="1"/>
  <c r="H28" i="105"/>
  <c r="H29" i="105"/>
  <c r="I29" i="105" s="1"/>
  <c r="C32" i="105"/>
  <c r="I33" i="105"/>
  <c r="I27" i="105"/>
  <c r="I20" i="105"/>
  <c r="I10" i="105"/>
  <c r="C4" i="104"/>
  <c r="C5" i="104"/>
  <c r="C6" i="104"/>
  <c r="E6" i="104" s="1"/>
  <c r="C8" i="104"/>
  <c r="C11" i="104"/>
  <c r="C12" i="104"/>
  <c r="C13" i="104"/>
  <c r="C33" i="104"/>
  <c r="H33" i="104"/>
  <c r="I33" i="104" s="1"/>
  <c r="C19" i="104"/>
  <c r="C20" i="104" s="1"/>
  <c r="C22" i="104"/>
  <c r="H22" i="104" s="1"/>
  <c r="C23" i="104"/>
  <c r="H23" i="104" s="1"/>
  <c r="I23" i="104" s="1"/>
  <c r="C26" i="104"/>
  <c r="H26" i="104" s="1"/>
  <c r="C27" i="104"/>
  <c r="H27" i="104" s="1"/>
  <c r="I27" i="104" s="1"/>
  <c r="C28" i="104"/>
  <c r="H28" i="104" s="1"/>
  <c r="I28" i="104" s="1"/>
  <c r="C29" i="104"/>
  <c r="H29" i="104"/>
  <c r="I29" i="104" s="1"/>
  <c r="H31" i="104"/>
  <c r="I31" i="104" s="1"/>
  <c r="I35" i="104"/>
  <c r="I25" i="104"/>
  <c r="I21" i="104"/>
  <c r="I18" i="104"/>
  <c r="I10" i="104"/>
  <c r="C4" i="15"/>
  <c r="C5" i="15"/>
  <c r="C6" i="15"/>
  <c r="C8" i="15"/>
  <c r="C11" i="15"/>
  <c r="C12" i="15"/>
  <c r="C13" i="15"/>
  <c r="H31" i="15"/>
  <c r="I31" i="15" s="1"/>
  <c r="C19" i="15"/>
  <c r="H19" i="15" s="1"/>
  <c r="C22" i="15"/>
  <c r="H22" i="15" s="1"/>
  <c r="C23" i="15"/>
  <c r="H23" i="15" s="1"/>
  <c r="I23" i="15" s="1"/>
  <c r="C26" i="15"/>
  <c r="H26" i="15" s="1"/>
  <c r="C27" i="15"/>
  <c r="H27" i="15" s="1"/>
  <c r="I27" i="15" s="1"/>
  <c r="C28" i="15"/>
  <c r="H28" i="15" s="1"/>
  <c r="I28" i="15" s="1"/>
  <c r="C29" i="15"/>
  <c r="H29" i="15" s="1"/>
  <c r="I29" i="15" s="1"/>
  <c r="C33" i="15"/>
  <c r="H33" i="15" s="1"/>
  <c r="I33" i="15" s="1"/>
  <c r="C34" i="15"/>
  <c r="H34" i="15" s="1"/>
  <c r="I34" i="15" s="1"/>
  <c r="I35" i="15"/>
  <c r="I36" i="15"/>
  <c r="C36" i="15"/>
  <c r="I38" i="15"/>
  <c r="I25" i="15"/>
  <c r="I21" i="15"/>
  <c r="I18" i="15"/>
  <c r="I10" i="15"/>
  <c r="C4" i="110"/>
  <c r="C5" i="110"/>
  <c r="H5" i="110" s="1"/>
  <c r="I5" i="110" s="1"/>
  <c r="C6" i="110"/>
  <c r="C8" i="110"/>
  <c r="C11" i="110"/>
  <c r="C12" i="110"/>
  <c r="E12" i="110" s="1"/>
  <c r="C13" i="110"/>
  <c r="E13" i="110" s="1"/>
  <c r="C38" i="110"/>
  <c r="H25" i="110"/>
  <c r="C19" i="110"/>
  <c r="H19" i="110"/>
  <c r="H20" i="110" s="1"/>
  <c r="I20" i="110" s="1"/>
  <c r="C22" i="110"/>
  <c r="H27" i="110"/>
  <c r="I27" i="110" s="1"/>
  <c r="I39" i="110"/>
  <c r="I21" i="110"/>
  <c r="I10" i="110"/>
  <c r="C4" i="111"/>
  <c r="H4" i="111" s="1"/>
  <c r="I4" i="111" s="1"/>
  <c r="C5" i="111"/>
  <c r="H5" i="111" s="1"/>
  <c r="C6" i="111"/>
  <c r="E6" i="111" s="1"/>
  <c r="C8" i="111"/>
  <c r="E8" i="111" s="1"/>
  <c r="C11" i="111"/>
  <c r="C12" i="111"/>
  <c r="E12" i="111" s="1"/>
  <c r="C13" i="111"/>
  <c r="E13" i="111" s="1"/>
  <c r="C24" i="111"/>
  <c r="C18" i="111"/>
  <c r="H18" i="111"/>
  <c r="I18" i="111" s="1"/>
  <c r="H22" i="111"/>
  <c r="I22" i="111" s="1"/>
  <c r="C22" i="111"/>
  <c r="I38" i="111"/>
  <c r="I20" i="111"/>
  <c r="I10" i="111"/>
  <c r="C4" i="14"/>
  <c r="C6" i="14"/>
  <c r="C7" i="14"/>
  <c r="C9" i="14"/>
  <c r="H9" i="14"/>
  <c r="I9" i="14" s="1"/>
  <c r="C13" i="14"/>
  <c r="E13" i="14" s="1"/>
  <c r="C14" i="14"/>
  <c r="E14" i="14" s="1"/>
  <c r="C15" i="14"/>
  <c r="C28" i="14"/>
  <c r="H28" i="14" s="1"/>
  <c r="I28" i="14" s="1"/>
  <c r="C25" i="14"/>
  <c r="H25" i="14"/>
  <c r="H26" i="14" s="1"/>
  <c r="H29" i="14"/>
  <c r="H30" i="14"/>
  <c r="I30" i="14" s="1"/>
  <c r="H31" i="14"/>
  <c r="I31" i="14" s="1"/>
  <c r="H32" i="14"/>
  <c r="I32" i="14" s="1"/>
  <c r="C33" i="14"/>
  <c r="H33" i="14" s="1"/>
  <c r="I33" i="14" s="1"/>
  <c r="C26" i="14"/>
  <c r="I12" i="14"/>
  <c r="C5" i="13"/>
  <c r="C6" i="13"/>
  <c r="H6" i="13"/>
  <c r="I6" i="13" s="1"/>
  <c r="C7" i="13"/>
  <c r="E7" i="13" s="1"/>
  <c r="C8" i="13"/>
  <c r="C12" i="13"/>
  <c r="C13" i="13"/>
  <c r="E13" i="13" s="1"/>
  <c r="C14" i="13"/>
  <c r="E14" i="13" s="1"/>
  <c r="H22" i="13"/>
  <c r="H19" i="13"/>
  <c r="H24" i="13"/>
  <c r="I24" i="13" s="1"/>
  <c r="I18" i="13"/>
  <c r="C4" i="12"/>
  <c r="C5" i="12"/>
  <c r="C6" i="12"/>
  <c r="C8" i="12"/>
  <c r="C11" i="12"/>
  <c r="C12" i="12"/>
  <c r="C13" i="12"/>
  <c r="C18" i="12"/>
  <c r="H20" i="12"/>
  <c r="I20" i="12"/>
  <c r="I24" i="12"/>
  <c r="C4" i="11"/>
  <c r="C5" i="11"/>
  <c r="C6" i="11"/>
  <c r="E6" i="11" s="1"/>
  <c r="C7" i="11"/>
  <c r="E7" i="11" s="1"/>
  <c r="C11" i="11"/>
  <c r="C12" i="11"/>
  <c r="C13" i="11"/>
  <c r="E13" i="11" s="1"/>
  <c r="H22" i="11"/>
  <c r="I22" i="11" s="1"/>
  <c r="I30" i="11"/>
  <c r="I17" i="11"/>
  <c r="I10" i="11"/>
  <c r="C4" i="9"/>
  <c r="C5" i="9"/>
  <c r="C6" i="9"/>
  <c r="C7" i="9"/>
  <c r="E7" i="9" s="1"/>
  <c r="C9" i="9"/>
  <c r="H9" i="9" s="1"/>
  <c r="I9" i="9" s="1"/>
  <c r="C12" i="9"/>
  <c r="H12" i="9" s="1"/>
  <c r="I12" i="9" s="1"/>
  <c r="C13" i="9"/>
  <c r="E13" i="9" s="1"/>
  <c r="C14" i="9"/>
  <c r="C25" i="9"/>
  <c r="C22" i="9"/>
  <c r="H26" i="9"/>
  <c r="I26" i="9" s="1"/>
  <c r="H27" i="9"/>
  <c r="I27" i="9" s="1"/>
  <c r="C20" i="9"/>
  <c r="C33" i="9"/>
  <c r="I31" i="9"/>
  <c r="I21" i="9"/>
  <c r="I18" i="9"/>
  <c r="I11" i="9"/>
  <c r="C4" i="38"/>
  <c r="C5" i="38"/>
  <c r="C6" i="38"/>
  <c r="C8" i="38"/>
  <c r="C11" i="38"/>
  <c r="C16" i="38" s="1"/>
  <c r="C12" i="38"/>
  <c r="E12" i="38" s="1"/>
  <c r="C13" i="38"/>
  <c r="C14" i="38"/>
  <c r="C25" i="38"/>
  <c r="C18" i="38"/>
  <c r="H21" i="38"/>
  <c r="I21" i="38" s="1"/>
  <c r="H24" i="38"/>
  <c r="I24" i="38" s="1"/>
  <c r="I20" i="38"/>
  <c r="I17" i="38"/>
  <c r="I10" i="38"/>
  <c r="H4" i="8"/>
  <c r="I4" i="8" s="1"/>
  <c r="C5" i="8"/>
  <c r="E5" i="8" s="1"/>
  <c r="H6" i="8"/>
  <c r="I6" i="8" s="1"/>
  <c r="C8" i="8"/>
  <c r="C9" i="8"/>
  <c r="C11" i="8"/>
  <c r="G11" i="8" s="1"/>
  <c r="H14" i="8"/>
  <c r="I14" i="8" s="1"/>
  <c r="C15" i="8"/>
  <c r="E15" i="8" s="1"/>
  <c r="E20" i="8" s="1"/>
  <c r="H16" i="8"/>
  <c r="I16" i="8" s="1"/>
  <c r="C43" i="8"/>
  <c r="C30" i="8"/>
  <c r="H44" i="8"/>
  <c r="I44" i="8" s="1"/>
  <c r="C45" i="8"/>
  <c r="C34" i="8"/>
  <c r="H35" i="8"/>
  <c r="I35" i="8" s="1"/>
  <c r="G39" i="8"/>
  <c r="G40" i="8" s="1"/>
  <c r="G20" i="2" s="1"/>
  <c r="I62" i="8"/>
  <c r="I49" i="8"/>
  <c r="I38" i="8"/>
  <c r="I32" i="8"/>
  <c r="I24" i="8"/>
  <c r="I13" i="8"/>
  <c r="C5" i="7"/>
  <c r="E5" i="7" s="1"/>
  <c r="C6" i="7"/>
  <c r="C8" i="7"/>
  <c r="C11" i="7"/>
  <c r="C12" i="7"/>
  <c r="E12" i="7" s="1"/>
  <c r="C13" i="7"/>
  <c r="H13" i="7"/>
  <c r="I13" i="7" s="1"/>
  <c r="C23" i="7"/>
  <c r="C24" i="7"/>
  <c r="E24" i="7" s="1"/>
  <c r="C25" i="7"/>
  <c r="H25" i="7"/>
  <c r="I25" i="7" s="1"/>
  <c r="I20" i="7"/>
  <c r="H20" i="7"/>
  <c r="C20" i="7"/>
  <c r="I39" i="7"/>
  <c r="I18" i="7"/>
  <c r="C4" i="6"/>
  <c r="C5" i="6"/>
  <c r="E5" i="6" s="1"/>
  <c r="C6" i="6"/>
  <c r="E6" i="6" s="1"/>
  <c r="C8" i="6"/>
  <c r="C11" i="6"/>
  <c r="C12" i="6"/>
  <c r="E12" i="6" s="1"/>
  <c r="C13" i="6"/>
  <c r="E13" i="6" s="1"/>
  <c r="C19" i="6"/>
  <c r="H19" i="6" s="1"/>
  <c r="C20" i="6"/>
  <c r="C21" i="6"/>
  <c r="I26" i="6"/>
  <c r="I10" i="6"/>
  <c r="C5" i="5"/>
  <c r="C6" i="5"/>
  <c r="C7" i="5"/>
  <c r="C8" i="5"/>
  <c r="E8" i="5" s="1"/>
  <c r="C10" i="5"/>
  <c r="C13" i="5"/>
  <c r="C14" i="5"/>
  <c r="C15" i="5"/>
  <c r="C17" i="5"/>
  <c r="E17" i="5" s="1"/>
  <c r="I25" i="5"/>
  <c r="C27" i="5"/>
  <c r="C28" i="5"/>
  <c r="C29" i="5"/>
  <c r="H29" i="5"/>
  <c r="I29" i="5" s="1"/>
  <c r="H25" i="5"/>
  <c r="C25" i="5"/>
  <c r="I37" i="5"/>
  <c r="I12" i="5"/>
  <c r="C21" i="4"/>
  <c r="C26" i="4"/>
  <c r="E26" i="4" s="1"/>
  <c r="C27" i="4"/>
  <c r="E27" i="4" s="1"/>
  <c r="C28" i="4"/>
  <c r="C29" i="4"/>
  <c r="C30" i="4"/>
  <c r="I32" i="4"/>
  <c r="I20" i="4"/>
  <c r="I17" i="4"/>
  <c r="I10" i="4"/>
  <c r="C5" i="3"/>
  <c r="C6" i="3"/>
  <c r="C7" i="3"/>
  <c r="C8" i="3"/>
  <c r="E8" i="3" s="1"/>
  <c r="C9" i="3"/>
  <c r="C11" i="3"/>
  <c r="C14" i="3"/>
  <c r="C15" i="3"/>
  <c r="C16" i="3"/>
  <c r="H16" i="3"/>
  <c r="I16" i="3" s="1"/>
  <c r="C17" i="3"/>
  <c r="G17" i="3" s="1"/>
  <c r="C29" i="3"/>
  <c r="H29" i="3" s="1"/>
  <c r="I29" i="3" s="1"/>
  <c r="H22" i="3"/>
  <c r="H23" i="3" s="1"/>
  <c r="I22" i="3"/>
  <c r="I23" i="3" s="1"/>
  <c r="C25" i="3"/>
  <c r="E25" i="3" s="1"/>
  <c r="C26" i="3"/>
  <c r="C30" i="3"/>
  <c r="C31" i="3"/>
  <c r="C32" i="3"/>
  <c r="H32" i="3"/>
  <c r="I32" i="3" s="1"/>
  <c r="C33" i="3"/>
  <c r="C35" i="3"/>
  <c r="C36" i="3"/>
  <c r="E36" i="3" s="1"/>
  <c r="C37" i="3"/>
  <c r="C23" i="3"/>
  <c r="I39" i="3"/>
  <c r="I24" i="3"/>
  <c r="I21" i="3"/>
  <c r="I13" i="3"/>
  <c r="C4" i="60"/>
  <c r="C5" i="60"/>
  <c r="C6" i="60"/>
  <c r="C7" i="60"/>
  <c r="E7" i="60" s="1"/>
  <c r="C8" i="60"/>
  <c r="H8" i="60" s="1"/>
  <c r="I8" i="60" s="1"/>
  <c r="C10" i="60"/>
  <c r="C13" i="60"/>
  <c r="C14" i="60"/>
  <c r="E14" i="60" s="1"/>
  <c r="C15" i="60"/>
  <c r="E15" i="60" s="1"/>
  <c r="C24" i="60"/>
  <c r="E24" i="60" s="1"/>
  <c r="C20" i="60"/>
  <c r="C21" i="60"/>
  <c r="E21" i="60" s="1"/>
  <c r="C25" i="60"/>
  <c r="H25" i="60"/>
  <c r="I25" i="60" s="1"/>
  <c r="C26" i="60"/>
  <c r="H26" i="60"/>
  <c r="I26" i="60" s="1"/>
  <c r="C27" i="60"/>
  <c r="E27" i="60" s="1"/>
  <c r="C28" i="60"/>
  <c r="E28" i="60" s="1"/>
  <c r="C30" i="60"/>
  <c r="H30" i="60"/>
  <c r="I30" i="60" s="1"/>
  <c r="C31" i="60"/>
  <c r="C4" i="61"/>
  <c r="H4" i="61"/>
  <c r="I4" i="61" s="1"/>
  <c r="C5" i="61"/>
  <c r="C6" i="61"/>
  <c r="E6" i="61" s="1"/>
  <c r="C7" i="61"/>
  <c r="C9" i="61"/>
  <c r="C11" i="61"/>
  <c r="C14" i="61"/>
  <c r="C15" i="61"/>
  <c r="H15" i="61"/>
  <c r="I15" i="61" s="1"/>
  <c r="C16" i="61"/>
  <c r="H16" i="61" s="1"/>
  <c r="I16" i="61" s="1"/>
  <c r="C25" i="61"/>
  <c r="C21" i="61"/>
  <c r="E21" i="61" s="1"/>
  <c r="C22" i="61"/>
  <c r="E22" i="61" s="1"/>
  <c r="C26" i="61"/>
  <c r="H26" i="61"/>
  <c r="I26" i="61" s="1"/>
  <c r="C27" i="61"/>
  <c r="E27" i="61" s="1"/>
  <c r="C28" i="61"/>
  <c r="E28" i="61" s="1"/>
  <c r="C29" i="61"/>
  <c r="C31" i="61"/>
  <c r="C32" i="61"/>
  <c r="H32" i="61" s="1"/>
  <c r="I32" i="61" s="1"/>
  <c r="I37" i="62"/>
  <c r="H28" i="62"/>
  <c r="H29" i="62"/>
  <c r="H30" i="62"/>
  <c r="H31" i="62"/>
  <c r="H32" i="62"/>
  <c r="H27" i="62"/>
  <c r="H22" i="62"/>
  <c r="I22" i="62" s="1"/>
  <c r="H23" i="62"/>
  <c r="I23" i="62" s="1"/>
  <c r="H21" i="62"/>
  <c r="I21" i="62" s="1"/>
  <c r="H17" i="62"/>
  <c r="I17" i="62" s="1"/>
  <c r="H18" i="62"/>
  <c r="I18" i="62" s="1"/>
  <c r="H26" i="62"/>
  <c r="H16" i="62"/>
  <c r="I16" i="62" s="1"/>
  <c r="H5" i="62"/>
  <c r="H6" i="62"/>
  <c r="I6" i="62" s="1"/>
  <c r="H7" i="62"/>
  <c r="I7" i="62" s="1"/>
  <c r="H8" i="62"/>
  <c r="I8" i="62" s="1"/>
  <c r="H9" i="62"/>
  <c r="I9" i="62" s="1"/>
  <c r="H11" i="62"/>
  <c r="I11" i="62"/>
  <c r="H4" i="62"/>
  <c r="H25" i="59"/>
  <c r="H26" i="59"/>
  <c r="H27" i="59"/>
  <c r="H28" i="59"/>
  <c r="H29" i="59"/>
  <c r="H30" i="59"/>
  <c r="H24" i="59"/>
  <c r="H20" i="59"/>
  <c r="I20" i="59" s="1"/>
  <c r="H19" i="59"/>
  <c r="H21" i="59" s="1"/>
  <c r="H14" i="59"/>
  <c r="I14" i="59" s="1"/>
  <c r="H15" i="59"/>
  <c r="I15" i="59" s="1"/>
  <c r="H23" i="59"/>
  <c r="H13" i="59"/>
  <c r="H5" i="59"/>
  <c r="I5" i="59"/>
  <c r="H6" i="59"/>
  <c r="I6" i="59" s="1"/>
  <c r="H7" i="59"/>
  <c r="I7" i="59" s="1"/>
  <c r="H8" i="59"/>
  <c r="I8" i="59" s="1"/>
  <c r="H10" i="59"/>
  <c r="I10" i="59"/>
  <c r="H4" i="59"/>
  <c r="I4" i="59" s="1"/>
  <c r="I24" i="24"/>
  <c r="H26" i="24"/>
  <c r="H27" i="24" s="1"/>
  <c r="H14" i="24"/>
  <c r="I14" i="24" s="1"/>
  <c r="H15" i="24"/>
  <c r="I15" i="24" s="1"/>
  <c r="H30" i="24"/>
  <c r="H63" i="24"/>
  <c r="H13" i="24"/>
  <c r="H5" i="24"/>
  <c r="I5" i="24" s="1"/>
  <c r="H6" i="24"/>
  <c r="I6" i="24" s="1"/>
  <c r="H7" i="24"/>
  <c r="I7" i="24" s="1"/>
  <c r="H8" i="24"/>
  <c r="I8" i="24" s="1"/>
  <c r="H10" i="24"/>
  <c r="I10" i="24" s="1"/>
  <c r="H4" i="24"/>
  <c r="C27" i="23"/>
  <c r="H27" i="23"/>
  <c r="I27" i="23" s="1"/>
  <c r="C28" i="23"/>
  <c r="C26" i="23"/>
  <c r="C22" i="23"/>
  <c r="H22" i="23" s="1"/>
  <c r="H23" i="23" s="1"/>
  <c r="C13" i="23"/>
  <c r="C14" i="23"/>
  <c r="E14" i="23" s="1"/>
  <c r="C25" i="23"/>
  <c r="C12" i="23"/>
  <c r="H12" i="23" s="1"/>
  <c r="I12" i="23" s="1"/>
  <c r="C5" i="23"/>
  <c r="E5" i="23" s="1"/>
  <c r="C7" i="23"/>
  <c r="C4" i="23"/>
  <c r="C13" i="22"/>
  <c r="C14" i="22"/>
  <c r="E14" i="22" s="1"/>
  <c r="C22" i="22"/>
  <c r="E22" i="22" s="1"/>
  <c r="E37" i="22" s="1"/>
  <c r="C12" i="22"/>
  <c r="C5" i="22"/>
  <c r="C6" i="22"/>
  <c r="E6" i="22" s="1"/>
  <c r="C7" i="22"/>
  <c r="H7" i="22" s="1"/>
  <c r="I7" i="22" s="1"/>
  <c r="C9" i="22"/>
  <c r="C4" i="22"/>
  <c r="E4" i="22" s="1"/>
  <c r="C28" i="21"/>
  <c r="C13" i="21"/>
  <c r="C14" i="21"/>
  <c r="E14" i="21" s="1"/>
  <c r="C27" i="21"/>
  <c r="C12" i="21"/>
  <c r="C5" i="21"/>
  <c r="E5" i="21" s="1"/>
  <c r="C6" i="21"/>
  <c r="C7" i="21"/>
  <c r="C9" i="21"/>
  <c r="C4" i="21"/>
  <c r="C23" i="20"/>
  <c r="E23" i="20" s="1"/>
  <c r="H16" i="20"/>
  <c r="I16" i="20" s="1"/>
  <c r="I17" i="20" s="1"/>
  <c r="C11" i="20"/>
  <c r="C14" i="20" s="1"/>
  <c r="C20" i="20"/>
  <c r="C5" i="20"/>
  <c r="C6" i="20"/>
  <c r="C8" i="20"/>
  <c r="E8" i="20" s="1"/>
  <c r="C4" i="20"/>
  <c r="C34" i="42"/>
  <c r="C22" i="42"/>
  <c r="E22" i="42" s="1"/>
  <c r="C24" i="42"/>
  <c r="E24" i="42" s="1"/>
  <c r="C21" i="42"/>
  <c r="H21" i="42" s="1"/>
  <c r="I21" i="42" s="1"/>
  <c r="H18" i="42"/>
  <c r="H19" i="42" s="1"/>
  <c r="C12" i="42"/>
  <c r="C13" i="42"/>
  <c r="E13" i="42" s="1"/>
  <c r="C31" i="42"/>
  <c r="C11" i="42"/>
  <c r="C5" i="42"/>
  <c r="E5" i="42" s="1"/>
  <c r="C6" i="42"/>
  <c r="E6" i="42" s="1"/>
  <c r="C8" i="42"/>
  <c r="C4" i="42"/>
  <c r="C29" i="29"/>
  <c r="E29" i="29" s="1"/>
  <c r="C31" i="29"/>
  <c r="E31" i="29" s="1"/>
  <c r="C5" i="29"/>
  <c r="E5" i="29" s="1"/>
  <c r="C6" i="29"/>
  <c r="E6" i="29" s="1"/>
  <c r="C9" i="29"/>
  <c r="E9" i="29" s="1"/>
  <c r="C13" i="29"/>
  <c r="C14" i="29"/>
  <c r="E14" i="29" s="1"/>
  <c r="C25" i="29"/>
  <c r="C12" i="29"/>
  <c r="H12" i="29" s="1"/>
  <c r="I12" i="29" s="1"/>
  <c r="C4" i="29"/>
  <c r="C37" i="30"/>
  <c r="C39" i="30"/>
  <c r="H39" i="30" s="1"/>
  <c r="I39" i="30" s="1"/>
  <c r="C41" i="30"/>
  <c r="H41" i="30" s="1"/>
  <c r="I41" i="30" s="1"/>
  <c r="C36" i="30"/>
  <c r="E36" i="30" s="1"/>
  <c r="C7" i="30"/>
  <c r="C8" i="30"/>
  <c r="C12" i="30"/>
  <c r="C17" i="30"/>
  <c r="E17" i="30" s="1"/>
  <c r="C19" i="30"/>
  <c r="C34" i="30"/>
  <c r="H34" i="30"/>
  <c r="I34" i="30" s="1"/>
  <c r="C30" i="30"/>
  <c r="H15" i="30"/>
  <c r="C4" i="30"/>
  <c r="H4" i="30" s="1"/>
  <c r="I4" i="30" s="1"/>
  <c r="C5" i="27"/>
  <c r="E5" i="27" s="1"/>
  <c r="C6" i="27"/>
  <c r="C8" i="27"/>
  <c r="C12" i="27"/>
  <c r="C13" i="27"/>
  <c r="E13" i="27" s="1"/>
  <c r="C18" i="27"/>
  <c r="C11" i="27"/>
  <c r="C4" i="27"/>
  <c r="H4" i="27"/>
  <c r="C5" i="28"/>
  <c r="C11" i="28"/>
  <c r="G11" i="28" s="1"/>
  <c r="C13" i="28"/>
  <c r="C17" i="28"/>
  <c r="C18" i="28"/>
  <c r="C10" i="28"/>
  <c r="C4" i="28"/>
  <c r="C20" i="112"/>
  <c r="C21" i="112"/>
  <c r="C25" i="112"/>
  <c r="E25" i="112" s="1"/>
  <c r="C19" i="112"/>
  <c r="E19" i="112" s="1"/>
  <c r="C12" i="112"/>
  <c r="E12" i="112" s="1"/>
  <c r="C13" i="112"/>
  <c r="C18" i="112"/>
  <c r="E18" i="112" s="1"/>
  <c r="C5" i="112"/>
  <c r="C6" i="112"/>
  <c r="C8" i="112"/>
  <c r="E8" i="112" s="1"/>
  <c r="C11" i="112"/>
  <c r="C4" i="112"/>
  <c r="C20" i="26"/>
  <c r="E20" i="26" s="1"/>
  <c r="C21" i="26"/>
  <c r="C12" i="26"/>
  <c r="C13" i="26"/>
  <c r="C18" i="26"/>
  <c r="C5" i="26"/>
  <c r="H5" i="26"/>
  <c r="I5" i="26" s="1"/>
  <c r="C6" i="26"/>
  <c r="C8" i="26"/>
  <c r="C11" i="26"/>
  <c r="C4" i="26"/>
  <c r="C12" i="25"/>
  <c r="E12" i="25" s="1"/>
  <c r="C13" i="25"/>
  <c r="C18" i="25"/>
  <c r="C19" i="25"/>
  <c r="E19" i="25" s="1"/>
  <c r="C11" i="25"/>
  <c r="H11" i="25" s="1"/>
  <c r="C5" i="25"/>
  <c r="C6" i="25"/>
  <c r="C8" i="25"/>
  <c r="C4" i="25"/>
  <c r="H4" i="25" s="1"/>
  <c r="C43" i="44"/>
  <c r="E43" i="44" s="1"/>
  <c r="C44" i="44"/>
  <c r="C45" i="44"/>
  <c r="C46" i="44"/>
  <c r="C47" i="44"/>
  <c r="E47" i="44" s="1"/>
  <c r="C48" i="44"/>
  <c r="C49" i="44"/>
  <c r="C42" i="44"/>
  <c r="C38" i="44"/>
  <c r="E38" i="44" s="1"/>
  <c r="C37" i="44"/>
  <c r="C34" i="44"/>
  <c r="C30" i="44"/>
  <c r="C22" i="44"/>
  <c r="H22" i="44" s="1"/>
  <c r="I22" i="44" s="1"/>
  <c r="C23" i="44"/>
  <c r="E23" i="44" s="1"/>
  <c r="C24" i="44"/>
  <c r="E24" i="44" s="1"/>
  <c r="C25" i="44"/>
  <c r="C41" i="44"/>
  <c r="E41" i="44" s="1"/>
  <c r="C21" i="44"/>
  <c r="C10" i="44"/>
  <c r="E10" i="44" s="1"/>
  <c r="C11" i="44"/>
  <c r="C12" i="44"/>
  <c r="E12" i="44" s="1"/>
  <c r="C13" i="44"/>
  <c r="C14" i="44"/>
  <c r="C15" i="44"/>
  <c r="E15" i="44" s="1"/>
  <c r="C16" i="44"/>
  <c r="C17" i="44"/>
  <c r="C18" i="44"/>
  <c r="C5" i="44"/>
  <c r="E5" i="44" s="1"/>
  <c r="C6" i="44"/>
  <c r="C9" i="44"/>
  <c r="H9" i="44"/>
  <c r="I9" i="44" s="1"/>
  <c r="C4" i="44"/>
  <c r="H4" i="44" s="1"/>
  <c r="C34" i="45"/>
  <c r="C39" i="45"/>
  <c r="E39" i="45" s="1"/>
  <c r="C40" i="45"/>
  <c r="H40" i="45" s="1"/>
  <c r="I40" i="45" s="1"/>
  <c r="C41" i="45"/>
  <c r="E41" i="45" s="1"/>
  <c r="C42" i="45"/>
  <c r="E42" i="45" s="1"/>
  <c r="C43" i="45"/>
  <c r="E43" i="45" s="1"/>
  <c r="C38" i="45"/>
  <c r="C32" i="45"/>
  <c r="C29" i="45"/>
  <c r="H29" i="45" s="1"/>
  <c r="I29" i="45" s="1"/>
  <c r="I30" i="45" s="1"/>
  <c r="C5" i="45"/>
  <c r="E5" i="45" s="1"/>
  <c r="C6" i="45"/>
  <c r="C10" i="45"/>
  <c r="E10" i="45" s="1"/>
  <c r="C11" i="45"/>
  <c r="E11" i="45" s="1"/>
  <c r="C12" i="45"/>
  <c r="C13" i="45"/>
  <c r="E13" i="45" s="1"/>
  <c r="C14" i="45"/>
  <c r="E14" i="45" s="1"/>
  <c r="C15" i="45"/>
  <c r="E15" i="45" s="1"/>
  <c r="C16" i="45"/>
  <c r="E16" i="45" s="1"/>
  <c r="C17" i="45"/>
  <c r="E17" i="45" s="1"/>
  <c r="C21" i="45"/>
  <c r="E21" i="45" s="1"/>
  <c r="C22" i="45"/>
  <c r="C23" i="45"/>
  <c r="E23" i="45" s="1"/>
  <c r="C24" i="45"/>
  <c r="H24" i="45"/>
  <c r="I24" i="45" s="1"/>
  <c r="C37" i="45"/>
  <c r="C20" i="45"/>
  <c r="C9" i="45"/>
  <c r="C4" i="45"/>
  <c r="C32" i="46"/>
  <c r="E32" i="46" s="1"/>
  <c r="C33" i="46"/>
  <c r="C21" i="46"/>
  <c r="E21" i="46" s="1"/>
  <c r="C23" i="46"/>
  <c r="C24" i="46"/>
  <c r="E24" i="46" s="1"/>
  <c r="C20" i="46"/>
  <c r="C12" i="46"/>
  <c r="E12" i="46" s="1"/>
  <c r="C13" i="46"/>
  <c r="E13" i="46" s="1"/>
  <c r="C15" i="46"/>
  <c r="E15" i="46" s="1"/>
  <c r="C16" i="46"/>
  <c r="E16" i="46" s="1"/>
  <c r="C17" i="46"/>
  <c r="C5" i="46"/>
  <c r="H5" i="46" s="1"/>
  <c r="I5" i="46" s="1"/>
  <c r="C6" i="46"/>
  <c r="E6" i="46" s="1"/>
  <c r="C8" i="46"/>
  <c r="E8" i="46" s="1"/>
  <c r="C11" i="46"/>
  <c r="H11" i="46" s="1"/>
  <c r="I11" i="46" s="1"/>
  <c r="C4" i="46"/>
  <c r="C29" i="48"/>
  <c r="H29" i="48" s="1"/>
  <c r="I29" i="48" s="1"/>
  <c r="C30" i="48"/>
  <c r="C37" i="48"/>
  <c r="E37" i="48" s="1"/>
  <c r="C38" i="48"/>
  <c r="C40" i="48"/>
  <c r="C36" i="48"/>
  <c r="C33" i="48"/>
  <c r="H33" i="48" s="1"/>
  <c r="C28" i="48"/>
  <c r="H28" i="48" s="1"/>
  <c r="C6" i="48"/>
  <c r="H6" i="48" s="1"/>
  <c r="I6" i="48" s="1"/>
  <c r="C10" i="48"/>
  <c r="E10" i="48" s="1"/>
  <c r="C11" i="48"/>
  <c r="H11" i="48" s="1"/>
  <c r="I11" i="48" s="1"/>
  <c r="C12" i="48"/>
  <c r="C13" i="48"/>
  <c r="C14" i="48"/>
  <c r="H14" i="48" s="1"/>
  <c r="I14" i="48" s="1"/>
  <c r="C15" i="48"/>
  <c r="C20" i="48"/>
  <c r="E20" i="48" s="1"/>
  <c r="C21" i="48"/>
  <c r="C22" i="48"/>
  <c r="C25" i="48"/>
  <c r="H25" i="48" s="1"/>
  <c r="H26" i="48" s="1"/>
  <c r="C19" i="48"/>
  <c r="C9" i="48"/>
  <c r="H9" i="48" s="1"/>
  <c r="I9" i="48" s="1"/>
  <c r="C4" i="48"/>
  <c r="C5" i="47"/>
  <c r="E5" i="47" s="1"/>
  <c r="C6" i="47"/>
  <c r="C7" i="47"/>
  <c r="C11" i="47"/>
  <c r="C12" i="47"/>
  <c r="H12" i="47" s="1"/>
  <c r="I12" i="47" s="1"/>
  <c r="C13" i="47"/>
  <c r="C14" i="47"/>
  <c r="C15" i="47"/>
  <c r="H15" i="47" s="1"/>
  <c r="I15" i="47" s="1"/>
  <c r="C16" i="47"/>
  <c r="C20" i="47"/>
  <c r="C21" i="47"/>
  <c r="C22" i="47"/>
  <c r="C23" i="47"/>
  <c r="C24" i="47"/>
  <c r="C28" i="47"/>
  <c r="H28" i="47" s="1"/>
  <c r="I28" i="47" s="1"/>
  <c r="C30" i="47"/>
  <c r="E30" i="47" s="1"/>
  <c r="C19" i="47"/>
  <c r="C10" i="47"/>
  <c r="C4" i="47"/>
  <c r="C11" i="49"/>
  <c r="E11" i="49" s="1"/>
  <c r="C12" i="49"/>
  <c r="E12" i="49" s="1"/>
  <c r="C13" i="49"/>
  <c r="E13" i="49" s="1"/>
  <c r="C14" i="49"/>
  <c r="E14" i="49" s="1"/>
  <c r="C15" i="49"/>
  <c r="E15" i="49" s="1"/>
  <c r="C19" i="49"/>
  <c r="E19" i="49" s="1"/>
  <c r="C20" i="49"/>
  <c r="E20" i="49" s="1"/>
  <c r="C21" i="49"/>
  <c r="E21" i="49" s="1"/>
  <c r="C28" i="49"/>
  <c r="E28" i="49" s="1"/>
  <c r="C29" i="49"/>
  <c r="E29" i="49" s="1"/>
  <c r="C33" i="49"/>
  <c r="E33" i="49" s="1"/>
  <c r="C34" i="49"/>
  <c r="E34" i="49" s="1"/>
  <c r="C32" i="49"/>
  <c r="H32" i="49" s="1"/>
  <c r="I32" i="49" s="1"/>
  <c r="C27" i="49"/>
  <c r="C24" i="49"/>
  <c r="H24" i="49"/>
  <c r="I24" i="49" s="1"/>
  <c r="I25" i="49" s="1"/>
  <c r="C18" i="49"/>
  <c r="C10" i="49"/>
  <c r="E10" i="49" s="1"/>
  <c r="C5" i="49"/>
  <c r="E5" i="49" s="1"/>
  <c r="C7" i="49"/>
  <c r="E7" i="49" s="1"/>
  <c r="C4" i="49"/>
  <c r="H4" i="49" s="1"/>
  <c r="I4" i="49" s="1"/>
  <c r="C55" i="52"/>
  <c r="C56" i="52"/>
  <c r="C57" i="52"/>
  <c r="H57" i="52" s="1"/>
  <c r="I57" i="52" s="1"/>
  <c r="C58" i="52"/>
  <c r="H58" i="52"/>
  <c r="I58" i="52" s="1"/>
  <c r="C59" i="52"/>
  <c r="E59" i="52" s="1"/>
  <c r="C60" i="52"/>
  <c r="H60" i="52"/>
  <c r="I60" i="52" s="1"/>
  <c r="C61" i="52"/>
  <c r="C62" i="52"/>
  <c r="C63" i="52"/>
  <c r="E63" i="52" s="1"/>
  <c r="C65" i="52"/>
  <c r="C66" i="52"/>
  <c r="E66" i="52" s="1"/>
  <c r="C67" i="52"/>
  <c r="C68" i="52"/>
  <c r="E68" i="52" s="1"/>
  <c r="C69" i="52"/>
  <c r="C70" i="52"/>
  <c r="H70" i="52" s="1"/>
  <c r="I70" i="52" s="1"/>
  <c r="C71" i="52"/>
  <c r="E71" i="52" s="1"/>
  <c r="C72" i="52"/>
  <c r="E72" i="52" s="1"/>
  <c r="C73" i="52"/>
  <c r="E73" i="52" s="1"/>
  <c r="C74" i="52"/>
  <c r="C53" i="52"/>
  <c r="H53" i="52" s="1"/>
  <c r="I53" i="52" s="1"/>
  <c r="C48" i="52"/>
  <c r="C45" i="52"/>
  <c r="H45" i="52"/>
  <c r="H46" i="52" s="1"/>
  <c r="C37" i="52"/>
  <c r="E37" i="52" s="1"/>
  <c r="C38" i="52"/>
  <c r="E38" i="52" s="1"/>
  <c r="C39" i="52"/>
  <c r="C41" i="52"/>
  <c r="H41" i="52" s="1"/>
  <c r="I41" i="52" s="1"/>
  <c r="C42" i="52"/>
  <c r="E42" i="52" s="1"/>
  <c r="C36" i="52"/>
  <c r="C33" i="52"/>
  <c r="H33" i="52" s="1"/>
  <c r="C25" i="52"/>
  <c r="E25" i="52" s="1"/>
  <c r="C27" i="52"/>
  <c r="H27" i="52" s="1"/>
  <c r="I27" i="52" s="1"/>
  <c r="C28" i="52"/>
  <c r="E28" i="52" s="1"/>
  <c r="C52" i="52"/>
  <c r="C24" i="52"/>
  <c r="C16" i="52"/>
  <c r="E16" i="52" s="1"/>
  <c r="C18" i="52"/>
  <c r="E18" i="52" s="1"/>
  <c r="C19" i="52"/>
  <c r="H19" i="52"/>
  <c r="I19" i="52" s="1"/>
  <c r="C20" i="52"/>
  <c r="C21" i="52"/>
  <c r="E21" i="52" s="1"/>
  <c r="C5" i="52"/>
  <c r="E5" i="52" s="1"/>
  <c r="C6" i="52"/>
  <c r="E6" i="52" s="1"/>
  <c r="C7" i="52"/>
  <c r="H7" i="52" s="1"/>
  <c r="I7" i="52" s="1"/>
  <c r="C8" i="52"/>
  <c r="C4" i="52"/>
  <c r="C46" i="53"/>
  <c r="E46" i="53" s="1"/>
  <c r="C47" i="53"/>
  <c r="H47" i="53" s="1"/>
  <c r="I47" i="53" s="1"/>
  <c r="C48" i="53"/>
  <c r="E48" i="53" s="1"/>
  <c r="C49" i="53"/>
  <c r="C51" i="53"/>
  <c r="E51" i="53" s="1"/>
  <c r="C52" i="53"/>
  <c r="C53" i="53"/>
  <c r="E53" i="53" s="1"/>
  <c r="C54" i="53"/>
  <c r="H54" i="53" s="1"/>
  <c r="I54" i="53" s="1"/>
  <c r="C55" i="53"/>
  <c r="C56" i="53"/>
  <c r="C57" i="53"/>
  <c r="E57" i="53" s="1"/>
  <c r="C58" i="53"/>
  <c r="H58" i="53" s="1"/>
  <c r="I58" i="53" s="1"/>
  <c r="C59" i="53"/>
  <c r="E59" i="53" s="1"/>
  <c r="C45" i="53"/>
  <c r="H45" i="53" s="1"/>
  <c r="I45" i="53" s="1"/>
  <c r="C37" i="53"/>
  <c r="C39" i="53"/>
  <c r="E39" i="53" s="1"/>
  <c r="C40" i="53"/>
  <c r="C35" i="53"/>
  <c r="H35" i="53" s="1"/>
  <c r="I35" i="53" s="1"/>
  <c r="C32" i="53"/>
  <c r="H32" i="53"/>
  <c r="H33" i="53" s="1"/>
  <c r="H25" i="53"/>
  <c r="I25" i="53" s="1"/>
  <c r="C23" i="53"/>
  <c r="C25" i="53"/>
  <c r="C26" i="53"/>
  <c r="C22" i="53"/>
  <c r="H22" i="53" s="1"/>
  <c r="C14" i="53"/>
  <c r="C16" i="53"/>
  <c r="H16" i="53" s="1"/>
  <c r="I16" i="53" s="1"/>
  <c r="C17" i="53"/>
  <c r="E17" i="53" s="1"/>
  <c r="C18" i="53"/>
  <c r="C19" i="53"/>
  <c r="C5" i="53"/>
  <c r="H5" i="53" s="1"/>
  <c r="I5" i="53" s="1"/>
  <c r="C6" i="53"/>
  <c r="C7" i="53"/>
  <c r="H7" i="53" s="1"/>
  <c r="I7" i="53" s="1"/>
  <c r="C4" i="53"/>
  <c r="C18" i="70"/>
  <c r="C19" i="69"/>
  <c r="E19" i="69" s="1"/>
  <c r="F19" i="69" s="1"/>
  <c r="C18" i="69"/>
  <c r="C18" i="68"/>
  <c r="C19" i="67"/>
  <c r="E19" i="67" s="1"/>
  <c r="F19" i="67" s="1"/>
  <c r="C18" i="67"/>
  <c r="C19" i="65"/>
  <c r="C18" i="65"/>
  <c r="C19" i="86"/>
  <c r="C18" i="86"/>
  <c r="E18" i="86" s="1"/>
  <c r="C19" i="85"/>
  <c r="E19" i="85" s="1"/>
  <c r="F19" i="85" s="1"/>
  <c r="C18" i="85"/>
  <c r="E18" i="85" s="1"/>
  <c r="H18" i="84"/>
  <c r="H19" i="84"/>
  <c r="I18" i="84"/>
  <c r="I19" i="84" s="1"/>
  <c r="C19" i="83"/>
  <c r="E19" i="83" s="1"/>
  <c r="E20" i="83" s="1"/>
  <c r="E27" i="83" s="1"/>
  <c r="C18" i="82"/>
  <c r="H18" i="82" s="1"/>
  <c r="H19" i="82" s="1"/>
  <c r="C18" i="90"/>
  <c r="C19" i="89"/>
  <c r="H19" i="89"/>
  <c r="I19" i="89" s="1"/>
  <c r="C18" i="89"/>
  <c r="C18" i="88"/>
  <c r="C19" i="98"/>
  <c r="E19" i="98" s="1"/>
  <c r="F19" i="98" s="1"/>
  <c r="C18" i="98"/>
  <c r="E18" i="98" s="1"/>
  <c r="C22" i="81"/>
  <c r="C18" i="95"/>
  <c r="C18" i="94"/>
  <c r="C19" i="93"/>
  <c r="E19" i="93" s="1"/>
  <c r="F19" i="93" s="1"/>
  <c r="C18" i="93"/>
  <c r="E18" i="93" s="1"/>
  <c r="C18" i="96"/>
  <c r="H18" i="96"/>
  <c r="H19" i="96" s="1"/>
  <c r="C38" i="54"/>
  <c r="E38" i="54" s="1"/>
  <c r="C36" i="54"/>
  <c r="C32" i="54"/>
  <c r="C31" i="54"/>
  <c r="E31" i="54" s="1"/>
  <c r="C25" i="54"/>
  <c r="E25" i="54" s="1"/>
  <c r="C26" i="54"/>
  <c r="E26" i="54" s="1"/>
  <c r="C27" i="54"/>
  <c r="C35" i="54"/>
  <c r="C24" i="54"/>
  <c r="C13" i="54"/>
  <c r="E13" i="54" s="1"/>
  <c r="C14" i="54"/>
  <c r="E14" i="54" s="1"/>
  <c r="C15" i="54"/>
  <c r="E15" i="54" s="1"/>
  <c r="C16" i="54"/>
  <c r="E16" i="54" s="1"/>
  <c r="C17" i="54"/>
  <c r="E17" i="54" s="1"/>
  <c r="C18" i="54"/>
  <c r="E18" i="54" s="1"/>
  <c r="C19" i="54"/>
  <c r="E19" i="54" s="1"/>
  <c r="C20" i="54"/>
  <c r="E20" i="54" s="1"/>
  <c r="C21" i="54"/>
  <c r="C12" i="54"/>
  <c r="C5" i="54"/>
  <c r="C6" i="54"/>
  <c r="C7" i="54"/>
  <c r="C8" i="54"/>
  <c r="E8" i="54" s="1"/>
  <c r="C9" i="54"/>
  <c r="H9" i="54" s="1"/>
  <c r="I9" i="54" s="1"/>
  <c r="C4" i="54"/>
  <c r="C18" i="76"/>
  <c r="C19" i="76"/>
  <c r="C18" i="74"/>
  <c r="H18" i="74" s="1"/>
  <c r="I18" i="74" s="1"/>
  <c r="I19" i="74" s="1"/>
  <c r="C19" i="79"/>
  <c r="C18" i="79"/>
  <c r="E18" i="79" s="1"/>
  <c r="C18" i="66"/>
  <c r="H18" i="66" s="1"/>
  <c r="H19" i="66" s="1"/>
  <c r="C19" i="78"/>
  <c r="H19" i="78"/>
  <c r="I19" i="78" s="1"/>
  <c r="C18" i="78"/>
  <c r="E18" i="78" s="1"/>
  <c r="C18" i="80"/>
  <c r="C18" i="73"/>
  <c r="C19" i="73"/>
  <c r="C18" i="77"/>
  <c r="C18" i="72"/>
  <c r="H18" i="72" s="1"/>
  <c r="B30" i="61"/>
  <c r="C30" i="61" s="1"/>
  <c r="E30" i="61" s="1"/>
  <c r="G5" i="56"/>
  <c r="G8" i="56" s="1"/>
  <c r="H5" i="56"/>
  <c r="G6" i="56"/>
  <c r="H6" i="56"/>
  <c r="G7" i="56"/>
  <c r="H7" i="56"/>
  <c r="H8" i="56" s="1"/>
  <c r="E8" i="56"/>
  <c r="F8" i="56"/>
  <c r="I8" i="56"/>
  <c r="J8" i="56"/>
  <c r="K8" i="56"/>
  <c r="G9" i="56"/>
  <c r="G10" i="56"/>
  <c r="H10" i="56"/>
  <c r="G11" i="56"/>
  <c r="H11" i="56"/>
  <c r="G12" i="56"/>
  <c r="H12" i="56"/>
  <c r="G13" i="56"/>
  <c r="H13" i="56"/>
  <c r="G14" i="56"/>
  <c r="H14" i="56"/>
  <c r="G15" i="56"/>
  <c r="H15" i="56"/>
  <c r="G16" i="56"/>
  <c r="H16" i="56"/>
  <c r="G17" i="56"/>
  <c r="H17" i="56"/>
  <c r="H25" i="56" s="1"/>
  <c r="G18" i="56"/>
  <c r="H18" i="56"/>
  <c r="G19" i="56"/>
  <c r="H19" i="56"/>
  <c r="G20" i="56"/>
  <c r="H20" i="56"/>
  <c r="G21" i="56"/>
  <c r="H21" i="56"/>
  <c r="G22" i="56"/>
  <c r="H22" i="56"/>
  <c r="G23" i="56"/>
  <c r="H23" i="56"/>
  <c r="E25" i="56"/>
  <c r="F25" i="56"/>
  <c r="I25" i="56"/>
  <c r="J25" i="56"/>
  <c r="K25" i="56"/>
  <c r="G27" i="56"/>
  <c r="G42" i="56" s="1"/>
  <c r="H27" i="56"/>
  <c r="J27" i="56"/>
  <c r="K27" i="56" s="1"/>
  <c r="G28" i="56"/>
  <c r="G33" i="56"/>
  <c r="H33" i="56"/>
  <c r="J33" i="56"/>
  <c r="K33" i="56" s="1"/>
  <c r="G34" i="56"/>
  <c r="H34" i="56"/>
  <c r="J34" i="56"/>
  <c r="K34" i="56" s="1"/>
  <c r="G35" i="56"/>
  <c r="H35" i="56"/>
  <c r="J35" i="56"/>
  <c r="K35" i="56" s="1"/>
  <c r="G36" i="56"/>
  <c r="H36" i="56"/>
  <c r="J36" i="56"/>
  <c r="K36" i="56" s="1"/>
  <c r="G37" i="56"/>
  <c r="H37" i="56"/>
  <c r="J37" i="56"/>
  <c r="K37" i="56" s="1"/>
  <c r="G38" i="56"/>
  <c r="H38" i="56"/>
  <c r="J38" i="56"/>
  <c r="K38" i="56" s="1"/>
  <c r="G39" i="56"/>
  <c r="H39" i="56"/>
  <c r="J39" i="56"/>
  <c r="K39" i="56" s="1"/>
  <c r="G40" i="56"/>
  <c r="H40" i="56"/>
  <c r="J40" i="56"/>
  <c r="K40" i="56" s="1"/>
  <c r="G41" i="56"/>
  <c r="J41" i="56"/>
  <c r="K41" i="56" s="1"/>
  <c r="E42" i="56"/>
  <c r="F42" i="56"/>
  <c r="F44" i="56" s="1"/>
  <c r="B27" i="110"/>
  <c r="B38" i="110" s="1"/>
  <c r="B29" i="21"/>
  <c r="C29" i="21" s="1"/>
  <c r="E29" i="21" s="1"/>
  <c r="B31" i="21"/>
  <c r="C24" i="21"/>
  <c r="C28" i="42"/>
  <c r="B36" i="42"/>
  <c r="C36" i="42" s="1"/>
  <c r="C19" i="42"/>
  <c r="C16" i="32"/>
  <c r="C11" i="32"/>
  <c r="C18" i="32" s="1"/>
  <c r="C24" i="62"/>
  <c r="C41" i="62" s="1"/>
  <c r="C11" i="24"/>
  <c r="C22" i="24"/>
  <c r="C27" i="24"/>
  <c r="C11" i="59"/>
  <c r="C33" i="59" s="1"/>
  <c r="M27" i="109" s="1"/>
  <c r="C21" i="59"/>
  <c r="B28" i="8"/>
  <c r="B31" i="8" s="1"/>
  <c r="B46" i="8"/>
  <c r="H46" i="8"/>
  <c r="I46" i="8" s="1"/>
  <c r="B47" i="8"/>
  <c r="C47" i="8" s="1"/>
  <c r="E47" i="8" s="1"/>
  <c r="B36" i="8"/>
  <c r="C36" i="8" s="1"/>
  <c r="E36" i="8" s="1"/>
  <c r="C19" i="96"/>
  <c r="C23" i="81"/>
  <c r="C20" i="69"/>
  <c r="C19" i="70"/>
  <c r="C33" i="53"/>
  <c r="C46" i="52"/>
  <c r="C25" i="49"/>
  <c r="C34" i="48"/>
  <c r="C30" i="45"/>
  <c r="C17" i="20"/>
  <c r="B26" i="111"/>
  <c r="B37" i="111" s="1"/>
  <c r="H26" i="111"/>
  <c r="I26" i="111" s="1"/>
  <c r="H22" i="24"/>
  <c r="H10" i="47"/>
  <c r="I10" i="47" s="1"/>
  <c r="H17" i="20"/>
  <c r="H45" i="56"/>
  <c r="B10" i="13"/>
  <c r="B17" i="13"/>
  <c r="B20" i="13"/>
  <c r="B46" i="13"/>
  <c r="B9" i="111"/>
  <c r="B16" i="111"/>
  <c r="B9" i="110"/>
  <c r="B16" i="110"/>
  <c r="B23" i="110"/>
  <c r="B10" i="21"/>
  <c r="B20" i="21"/>
  <c r="B23" i="21"/>
  <c r="B24" i="21" s="1"/>
  <c r="B32" i="21"/>
  <c r="B10" i="22"/>
  <c r="B17" i="22"/>
  <c r="B20" i="22"/>
  <c r="B23" i="22"/>
  <c r="B37" i="22" s="1"/>
  <c r="B9" i="42"/>
  <c r="B19" i="42"/>
  <c r="B25" i="42"/>
  <c r="B40" i="42"/>
  <c r="B28" i="42"/>
  <c r="B14" i="62"/>
  <c r="B19" i="62"/>
  <c r="B24" i="62"/>
  <c r="B31" i="62"/>
  <c r="B39" i="62" s="1"/>
  <c r="B11" i="24"/>
  <c r="B22" i="24"/>
  <c r="B27" i="24"/>
  <c r="B63" i="24"/>
  <c r="B12" i="61"/>
  <c r="B19" i="61"/>
  <c r="B23" i="61"/>
  <c r="B12" i="8"/>
  <c r="B20" i="8"/>
  <c r="B23" i="8"/>
  <c r="B40" i="8"/>
  <c r="B54" i="8"/>
  <c r="B55" i="8"/>
  <c r="B57" i="8"/>
  <c r="B58" i="8"/>
  <c r="B59" i="8"/>
  <c r="B6" i="10"/>
  <c r="C4" i="55" s="1"/>
  <c r="F6" i="10"/>
  <c r="B9" i="10"/>
  <c r="F9" i="10"/>
  <c r="G9" i="10"/>
  <c r="F11" i="10"/>
  <c r="F12" i="10" s="1"/>
  <c r="B12" i="10"/>
  <c r="F24" i="10"/>
  <c r="G24" i="10"/>
  <c r="C4" i="72"/>
  <c r="H4" i="72"/>
  <c r="C5" i="72"/>
  <c r="H5" i="72" s="1"/>
  <c r="C6" i="72"/>
  <c r="H6" i="72" s="1"/>
  <c r="C7" i="72"/>
  <c r="H7" i="72" s="1"/>
  <c r="B9" i="72"/>
  <c r="C11" i="72"/>
  <c r="H11" i="72" s="1"/>
  <c r="C12" i="72"/>
  <c r="H12" i="72" s="1"/>
  <c r="C13" i="72"/>
  <c r="H13" i="72" s="1"/>
  <c r="C14" i="72"/>
  <c r="H14" i="72"/>
  <c r="B16" i="72"/>
  <c r="B19" i="72"/>
  <c r="C4" i="77"/>
  <c r="H4" i="77"/>
  <c r="C5" i="77"/>
  <c r="H5" i="77" s="1"/>
  <c r="C6" i="77"/>
  <c r="H6" i="77" s="1"/>
  <c r="C7" i="77"/>
  <c r="H7" i="77" s="1"/>
  <c r="B9" i="77"/>
  <c r="B45" i="109" s="1"/>
  <c r="C11" i="77"/>
  <c r="C12" i="77"/>
  <c r="H12" i="77" s="1"/>
  <c r="C13" i="77"/>
  <c r="H13" i="77" s="1"/>
  <c r="C14" i="77"/>
  <c r="H14" i="77"/>
  <c r="B16" i="77"/>
  <c r="C45" i="109" s="1"/>
  <c r="B19" i="77"/>
  <c r="I20" i="77"/>
  <c r="C21" i="77"/>
  <c r="H21" i="77" s="1"/>
  <c r="C22" i="77"/>
  <c r="H22" i="77" s="1"/>
  <c r="I22" i="77" s="1"/>
  <c r="C23" i="77"/>
  <c r="H23" i="77"/>
  <c r="I23" i="77" s="1"/>
  <c r="I24" i="77"/>
  <c r="B25" i="77"/>
  <c r="C4" i="73"/>
  <c r="H4" i="73" s="1"/>
  <c r="C5" i="73"/>
  <c r="H5" i="73" s="1"/>
  <c r="C6" i="73"/>
  <c r="H6" i="73" s="1"/>
  <c r="C7" i="73"/>
  <c r="H7" i="73" s="1"/>
  <c r="B9" i="73"/>
  <c r="B51" i="123" s="1"/>
  <c r="L51" i="123" s="1"/>
  <c r="B51" i="2"/>
  <c r="C11" i="73"/>
  <c r="H11" i="73" s="1"/>
  <c r="C12" i="73"/>
  <c r="H12" i="73" s="1"/>
  <c r="C13" i="73"/>
  <c r="H13" i="73" s="1"/>
  <c r="C14" i="73"/>
  <c r="H14" i="73" s="1"/>
  <c r="B16" i="73"/>
  <c r="B19" i="73"/>
  <c r="C4" i="80"/>
  <c r="H4" i="80" s="1"/>
  <c r="C5" i="80"/>
  <c r="H5" i="80" s="1"/>
  <c r="C6" i="80"/>
  <c r="H6" i="80" s="1"/>
  <c r="C7" i="80"/>
  <c r="H7" i="80"/>
  <c r="B9" i="80"/>
  <c r="B42" i="109" s="1"/>
  <c r="C11" i="80"/>
  <c r="H11" i="80"/>
  <c r="C12" i="80"/>
  <c r="H12" i="80" s="1"/>
  <c r="C13" i="80"/>
  <c r="H13" i="80" s="1"/>
  <c r="C14" i="80"/>
  <c r="H14" i="80" s="1"/>
  <c r="B16" i="80"/>
  <c r="I19" i="80"/>
  <c r="B20" i="80"/>
  <c r="I21" i="80"/>
  <c r="C4" i="78"/>
  <c r="C5" i="78"/>
  <c r="H5" i="78" s="1"/>
  <c r="C6" i="78"/>
  <c r="H6" i="78"/>
  <c r="C7" i="78"/>
  <c r="H7" i="78" s="1"/>
  <c r="B9" i="78"/>
  <c r="C11" i="78"/>
  <c r="H11" i="78" s="1"/>
  <c r="C12" i="78"/>
  <c r="H12" i="78" s="1"/>
  <c r="C13" i="78"/>
  <c r="H13" i="78" s="1"/>
  <c r="C14" i="78"/>
  <c r="H14" i="78"/>
  <c r="B16" i="78"/>
  <c r="B20" i="78"/>
  <c r="I21" i="78"/>
  <c r="C22" i="78"/>
  <c r="C24" i="78" s="1"/>
  <c r="C23" i="78"/>
  <c r="H23" i="78" s="1"/>
  <c r="I23" i="78" s="1"/>
  <c r="B24" i="78"/>
  <c r="C4" i="66"/>
  <c r="H4" i="66"/>
  <c r="C5" i="66"/>
  <c r="H5" i="66" s="1"/>
  <c r="C6" i="66"/>
  <c r="H6" i="66" s="1"/>
  <c r="C7" i="66"/>
  <c r="H7" i="66" s="1"/>
  <c r="B9" i="66"/>
  <c r="B41" i="109" s="1"/>
  <c r="C11" i="66"/>
  <c r="H11" i="66" s="1"/>
  <c r="C12" i="66"/>
  <c r="H12" i="66" s="1"/>
  <c r="C13" i="66"/>
  <c r="H13" i="66" s="1"/>
  <c r="C14" i="66"/>
  <c r="H14" i="66" s="1"/>
  <c r="B16" i="66"/>
  <c r="B19" i="66"/>
  <c r="I20" i="66"/>
  <c r="C21" i="66"/>
  <c r="H21" i="66" s="1"/>
  <c r="C22" i="66"/>
  <c r="C23" i="66"/>
  <c r="H23" i="66" s="1"/>
  <c r="I23" i="66" s="1"/>
  <c r="B24" i="66"/>
  <c r="C4" i="79"/>
  <c r="H4" i="79" s="1"/>
  <c r="C5" i="79"/>
  <c r="H5" i="79" s="1"/>
  <c r="C6" i="79"/>
  <c r="H6" i="79"/>
  <c r="C7" i="79"/>
  <c r="H7" i="79" s="1"/>
  <c r="B9" i="79"/>
  <c r="C11" i="79"/>
  <c r="H11" i="79" s="1"/>
  <c r="C12" i="79"/>
  <c r="H12" i="79" s="1"/>
  <c r="C13" i="79"/>
  <c r="H13" i="79"/>
  <c r="C14" i="79"/>
  <c r="H14" i="79" s="1"/>
  <c r="B16" i="79"/>
  <c r="B20" i="79"/>
  <c r="I21" i="79"/>
  <c r="C22" i="79"/>
  <c r="C23" i="79"/>
  <c r="H23" i="79"/>
  <c r="I23" i="79"/>
  <c r="C24" i="79"/>
  <c r="H24" i="79" s="1"/>
  <c r="I24" i="79" s="1"/>
  <c r="B25" i="79"/>
  <c r="F3" i="75"/>
  <c r="G3" i="75" s="1"/>
  <c r="F4" i="75"/>
  <c r="F5" i="75"/>
  <c r="G5" i="75" s="1"/>
  <c r="F6" i="75"/>
  <c r="G6" i="75" s="1"/>
  <c r="E8" i="75"/>
  <c r="F10" i="75"/>
  <c r="G10" i="75" s="1"/>
  <c r="F11" i="75"/>
  <c r="G11" i="75"/>
  <c r="F12" i="75"/>
  <c r="G12" i="75" s="1"/>
  <c r="F13" i="75"/>
  <c r="G13" i="75"/>
  <c r="E15" i="75"/>
  <c r="F17" i="75"/>
  <c r="G17" i="75"/>
  <c r="E19" i="75"/>
  <c r="E25" i="75" s="1"/>
  <c r="F19" i="75"/>
  <c r="G19" i="75"/>
  <c r="F21" i="75"/>
  <c r="G21" i="75"/>
  <c r="F22" i="75"/>
  <c r="G22" i="75" s="1"/>
  <c r="G24" i="75" s="1"/>
  <c r="E24" i="75"/>
  <c r="F24" i="75"/>
  <c r="C4" i="74"/>
  <c r="H4" i="74" s="1"/>
  <c r="C5" i="74"/>
  <c r="C6" i="74"/>
  <c r="H6" i="74" s="1"/>
  <c r="C7" i="74"/>
  <c r="H7" i="74"/>
  <c r="B9" i="74"/>
  <c r="B50" i="123" s="1"/>
  <c r="L50" i="123" s="1"/>
  <c r="C11" i="74"/>
  <c r="H11" i="74"/>
  <c r="C12" i="74"/>
  <c r="H12" i="74" s="1"/>
  <c r="C13" i="74"/>
  <c r="H13" i="74"/>
  <c r="C14" i="74"/>
  <c r="H14" i="74" s="1"/>
  <c r="B16" i="74"/>
  <c r="C48" i="109" s="1"/>
  <c r="B19" i="74"/>
  <c r="I20" i="74"/>
  <c r="C21" i="74"/>
  <c r="H21" i="74" s="1"/>
  <c r="I21" i="74" s="1"/>
  <c r="C22" i="74"/>
  <c r="H22" i="74" s="1"/>
  <c r="I22" i="74" s="1"/>
  <c r="C23" i="74"/>
  <c r="H23" i="74" s="1"/>
  <c r="I23" i="74" s="1"/>
  <c r="B24" i="74"/>
  <c r="C4" i="76"/>
  <c r="H4" i="76" s="1"/>
  <c r="C5" i="76"/>
  <c r="H5" i="76" s="1"/>
  <c r="C6" i="76"/>
  <c r="H6" i="76" s="1"/>
  <c r="C7" i="76"/>
  <c r="H7" i="76" s="1"/>
  <c r="B9" i="76"/>
  <c r="C11" i="76"/>
  <c r="H11" i="76" s="1"/>
  <c r="C12" i="76"/>
  <c r="H12" i="76" s="1"/>
  <c r="C13" i="76"/>
  <c r="H13" i="76" s="1"/>
  <c r="C14" i="76"/>
  <c r="H14" i="76" s="1"/>
  <c r="B16" i="76"/>
  <c r="C46" i="109" s="1"/>
  <c r="B19" i="76"/>
  <c r="I20" i="76"/>
  <c r="C21" i="76"/>
  <c r="H21" i="76" s="1"/>
  <c r="H24" i="76" s="1"/>
  <c r="I24" i="76" s="1"/>
  <c r="C22" i="76"/>
  <c r="H22" i="76" s="1"/>
  <c r="I22" i="76" s="1"/>
  <c r="I23" i="76"/>
  <c r="B24" i="76"/>
  <c r="B10" i="54"/>
  <c r="I32" i="56" s="1"/>
  <c r="H32" i="56" s="1"/>
  <c r="B22" i="54"/>
  <c r="B33" i="54"/>
  <c r="B37" i="54"/>
  <c r="B39" i="54" s="1"/>
  <c r="E6" i="51"/>
  <c r="F6" i="51"/>
  <c r="G6" i="51"/>
  <c r="H6" i="51"/>
  <c r="I6" i="51"/>
  <c r="J6" i="51"/>
  <c r="K6" i="51"/>
  <c r="G8" i="51"/>
  <c r="H8" i="51"/>
  <c r="J8" i="51"/>
  <c r="G9" i="51"/>
  <c r="H9" i="51"/>
  <c r="J9" i="51"/>
  <c r="K9" i="51" s="1"/>
  <c r="H10" i="51"/>
  <c r="J10" i="51"/>
  <c r="K10" i="51" s="1"/>
  <c r="H11" i="51"/>
  <c r="H17" i="51"/>
  <c r="J11" i="51"/>
  <c r="K11" i="51" s="1"/>
  <c r="H12" i="51"/>
  <c r="J12" i="51"/>
  <c r="K12" i="51" s="1"/>
  <c r="H13" i="51"/>
  <c r="J13" i="51"/>
  <c r="K13" i="51"/>
  <c r="G14" i="51"/>
  <c r="H14" i="51"/>
  <c r="J14" i="51"/>
  <c r="K14" i="51"/>
  <c r="G15" i="51"/>
  <c r="H15" i="51"/>
  <c r="J15" i="51"/>
  <c r="K15" i="51"/>
  <c r="G16" i="51"/>
  <c r="H16" i="51"/>
  <c r="J16" i="51"/>
  <c r="K16" i="51"/>
  <c r="E17" i="51"/>
  <c r="F17" i="51"/>
  <c r="I17" i="51"/>
  <c r="G18" i="51"/>
  <c r="G19" i="51"/>
  <c r="H19" i="51"/>
  <c r="H26" i="51" s="1"/>
  <c r="J19" i="51"/>
  <c r="H20" i="51"/>
  <c r="J20" i="51"/>
  <c r="K20" i="51"/>
  <c r="G21" i="51"/>
  <c r="H21" i="51"/>
  <c r="J21" i="51"/>
  <c r="K21" i="51"/>
  <c r="G22" i="51"/>
  <c r="H22" i="51"/>
  <c r="J22" i="51"/>
  <c r="H23" i="51"/>
  <c r="J23" i="51"/>
  <c r="K23" i="51"/>
  <c r="H24" i="51"/>
  <c r="J24" i="51"/>
  <c r="K24" i="51" s="1"/>
  <c r="G25" i="51"/>
  <c r="H25" i="51"/>
  <c r="J25" i="51"/>
  <c r="K25" i="51" s="1"/>
  <c r="E26" i="51"/>
  <c r="F26" i="51"/>
  <c r="I26" i="51"/>
  <c r="G28" i="51"/>
  <c r="G29" i="51"/>
  <c r="H28" i="51"/>
  <c r="H29" i="51" s="1"/>
  <c r="J28" i="51"/>
  <c r="E29" i="51"/>
  <c r="F29" i="51"/>
  <c r="I29" i="51"/>
  <c r="G31" i="51"/>
  <c r="G32" i="51"/>
  <c r="H31" i="51"/>
  <c r="H32" i="51" s="1"/>
  <c r="J31" i="51"/>
  <c r="K31" i="51"/>
  <c r="K32" i="51" s="1"/>
  <c r="E32" i="51"/>
  <c r="F32" i="51"/>
  <c r="I32" i="51"/>
  <c r="J32" i="51"/>
  <c r="G33" i="51"/>
  <c r="G34" i="51"/>
  <c r="I34" i="51"/>
  <c r="H34" i="51" s="1"/>
  <c r="H35" i="51"/>
  <c r="J35" i="51"/>
  <c r="K35" i="51" s="1"/>
  <c r="H36" i="51"/>
  <c r="J36" i="51"/>
  <c r="K36" i="51" s="1"/>
  <c r="G37" i="51"/>
  <c r="I37" i="51"/>
  <c r="J37" i="51"/>
  <c r="K37" i="51" s="1"/>
  <c r="G38" i="51"/>
  <c r="H38" i="51"/>
  <c r="J38" i="51"/>
  <c r="K38" i="51" s="1"/>
  <c r="G39" i="51"/>
  <c r="H39" i="51"/>
  <c r="J39" i="51"/>
  <c r="K39" i="51" s="1"/>
  <c r="E40" i="51"/>
  <c r="F40" i="51"/>
  <c r="G40" i="51"/>
  <c r="G41" i="51"/>
  <c r="G42" i="51"/>
  <c r="G43" i="51"/>
  <c r="H42" i="51"/>
  <c r="H43" i="51" s="1"/>
  <c r="J42" i="51"/>
  <c r="K42" i="51" s="1"/>
  <c r="K43" i="51" s="1"/>
  <c r="J43" i="51"/>
  <c r="E43" i="51"/>
  <c r="F43" i="51"/>
  <c r="F72" i="51" s="1"/>
  <c r="I43" i="51"/>
  <c r="H45" i="51"/>
  <c r="J45" i="51"/>
  <c r="K45" i="51"/>
  <c r="H46" i="51"/>
  <c r="H48" i="51" s="1"/>
  <c r="J46" i="51"/>
  <c r="J48" i="51" s="1"/>
  <c r="G47" i="51"/>
  <c r="G48" i="51"/>
  <c r="H47" i="51"/>
  <c r="J47" i="51"/>
  <c r="K47" i="51" s="1"/>
  <c r="E48" i="51"/>
  <c r="F48" i="51"/>
  <c r="I48" i="51"/>
  <c r="G49" i="51"/>
  <c r="G50" i="51"/>
  <c r="H50" i="51"/>
  <c r="J50" i="51"/>
  <c r="K50" i="51"/>
  <c r="G51" i="51"/>
  <c r="H51" i="51"/>
  <c r="J51" i="51"/>
  <c r="K51" i="51"/>
  <c r="H52" i="51"/>
  <c r="J52" i="51"/>
  <c r="K52" i="51" s="1"/>
  <c r="G53" i="51"/>
  <c r="H53" i="51"/>
  <c r="J53" i="51"/>
  <c r="K53" i="51" s="1"/>
  <c r="H54" i="51"/>
  <c r="J54" i="51"/>
  <c r="K54" i="51" s="1"/>
  <c r="H55" i="51"/>
  <c r="J55" i="51"/>
  <c r="K55" i="51" s="1"/>
  <c r="G56" i="51"/>
  <c r="H56" i="51"/>
  <c r="J56" i="51"/>
  <c r="K56" i="51" s="1"/>
  <c r="H57" i="51"/>
  <c r="J57" i="51"/>
  <c r="K57" i="51"/>
  <c r="H58" i="51"/>
  <c r="J58" i="51"/>
  <c r="K58" i="51" s="1"/>
  <c r="G59" i="51"/>
  <c r="H59" i="51"/>
  <c r="J59" i="51"/>
  <c r="K59" i="51" s="1"/>
  <c r="H60" i="51"/>
  <c r="J60" i="51"/>
  <c r="K60" i="51" s="1"/>
  <c r="H61" i="51"/>
  <c r="J61" i="51"/>
  <c r="K61" i="51" s="1"/>
  <c r="H62" i="51"/>
  <c r="J62" i="51"/>
  <c r="K62" i="51"/>
  <c r="H63" i="51"/>
  <c r="J63" i="51"/>
  <c r="K63" i="51" s="1"/>
  <c r="H64" i="51"/>
  <c r="J64" i="51"/>
  <c r="K64" i="51"/>
  <c r="G65" i="51"/>
  <c r="H65" i="51"/>
  <c r="J65" i="51"/>
  <c r="K65" i="51" s="1"/>
  <c r="H66" i="51"/>
  <c r="J66" i="51"/>
  <c r="K66" i="51" s="1"/>
  <c r="G67" i="51"/>
  <c r="H67" i="51"/>
  <c r="J67" i="51"/>
  <c r="K67" i="51" s="1"/>
  <c r="H68" i="51"/>
  <c r="J68" i="51"/>
  <c r="K68" i="51"/>
  <c r="E70" i="51"/>
  <c r="E72" i="51"/>
  <c r="F70" i="51"/>
  <c r="I70" i="51"/>
  <c r="G71" i="51"/>
  <c r="C4" i="96"/>
  <c r="H4" i="96" s="1"/>
  <c r="C5" i="96"/>
  <c r="H5" i="96"/>
  <c r="C6" i="96"/>
  <c r="H6" i="96" s="1"/>
  <c r="C7" i="96"/>
  <c r="H7" i="96" s="1"/>
  <c r="B9" i="96"/>
  <c r="B72" i="123" s="1"/>
  <c r="L72" i="123" s="1"/>
  <c r="C11" i="96"/>
  <c r="H11" i="96" s="1"/>
  <c r="C12" i="96"/>
  <c r="H12" i="96" s="1"/>
  <c r="C13" i="96"/>
  <c r="H13" i="96" s="1"/>
  <c r="C14" i="96"/>
  <c r="H14" i="96" s="1"/>
  <c r="B16" i="96"/>
  <c r="B19" i="96"/>
  <c r="I20" i="96"/>
  <c r="C21" i="96"/>
  <c r="H21" i="96" s="1"/>
  <c r="C22" i="96"/>
  <c r="H22" i="96" s="1"/>
  <c r="I22" i="96" s="1"/>
  <c r="C23" i="96"/>
  <c r="H23" i="96" s="1"/>
  <c r="I23" i="96" s="1"/>
  <c r="B24" i="96"/>
  <c r="C4" i="93"/>
  <c r="C5" i="93"/>
  <c r="H5" i="93" s="1"/>
  <c r="C6" i="93"/>
  <c r="H6" i="93" s="1"/>
  <c r="C7" i="93"/>
  <c r="H7" i="93" s="1"/>
  <c r="B9" i="93"/>
  <c r="C11" i="93"/>
  <c r="H11" i="93"/>
  <c r="C12" i="93"/>
  <c r="H12" i="93" s="1"/>
  <c r="H16" i="93" s="1"/>
  <c r="C13" i="93"/>
  <c r="H13" i="93" s="1"/>
  <c r="C14" i="93"/>
  <c r="H14" i="93" s="1"/>
  <c r="B16" i="93"/>
  <c r="B20" i="93"/>
  <c r="I21" i="93"/>
  <c r="C22" i="93"/>
  <c r="C23" i="93"/>
  <c r="H23" i="93" s="1"/>
  <c r="I23" i="93" s="1"/>
  <c r="C24" i="93"/>
  <c r="H24" i="93" s="1"/>
  <c r="I24" i="93" s="1"/>
  <c r="B26" i="93"/>
  <c r="C4" i="94"/>
  <c r="C5" i="94"/>
  <c r="H5" i="94" s="1"/>
  <c r="C6" i="94"/>
  <c r="H6" i="94"/>
  <c r="C7" i="94"/>
  <c r="H7" i="94"/>
  <c r="B9" i="94"/>
  <c r="B70" i="2"/>
  <c r="C11" i="94"/>
  <c r="C12" i="94"/>
  <c r="H12" i="94"/>
  <c r="C13" i="94"/>
  <c r="H13" i="94"/>
  <c r="C14" i="94"/>
  <c r="H14" i="94"/>
  <c r="B16" i="94"/>
  <c r="C68" i="109" s="1"/>
  <c r="B19" i="94"/>
  <c r="I20" i="94"/>
  <c r="C21" i="94"/>
  <c r="C23" i="94" s="1"/>
  <c r="C22" i="94"/>
  <c r="H22" i="94" s="1"/>
  <c r="I22" i="94" s="1"/>
  <c r="B23" i="94"/>
  <c r="C4" i="95"/>
  <c r="H4" i="95" s="1"/>
  <c r="C5" i="95"/>
  <c r="H5" i="95"/>
  <c r="C6" i="95"/>
  <c r="H6" i="95" s="1"/>
  <c r="C7" i="95"/>
  <c r="H7" i="95"/>
  <c r="B9" i="95"/>
  <c r="C11" i="95"/>
  <c r="H11" i="95"/>
  <c r="C12" i="95"/>
  <c r="H12" i="95" s="1"/>
  <c r="C13" i="95"/>
  <c r="H13" i="95"/>
  <c r="C14" i="95"/>
  <c r="H14" i="95" s="1"/>
  <c r="B16" i="95"/>
  <c r="B19" i="95"/>
  <c r="I20" i="95"/>
  <c r="C21" i="95"/>
  <c r="H21" i="95"/>
  <c r="C22" i="95"/>
  <c r="H22" i="95" s="1"/>
  <c r="I22" i="95" s="1"/>
  <c r="C23" i="95"/>
  <c r="H23" i="95" s="1"/>
  <c r="I23" i="95" s="1"/>
  <c r="I24" i="95"/>
  <c r="C25" i="95"/>
  <c r="H25" i="95" s="1"/>
  <c r="I25" i="95" s="1"/>
  <c r="B26" i="95"/>
  <c r="F3" i="64"/>
  <c r="F8" i="64" s="1"/>
  <c r="G3" i="64"/>
  <c r="F4" i="64"/>
  <c r="G4" i="64" s="1"/>
  <c r="F5" i="64"/>
  <c r="G5" i="64" s="1"/>
  <c r="F6" i="64"/>
  <c r="G6" i="64"/>
  <c r="E8" i="64"/>
  <c r="F10" i="64"/>
  <c r="G10" i="64" s="1"/>
  <c r="F11" i="64"/>
  <c r="G11" i="64" s="1"/>
  <c r="F12" i="64"/>
  <c r="G12" i="64" s="1"/>
  <c r="F13" i="64"/>
  <c r="G13" i="64" s="1"/>
  <c r="G15" i="64" s="1"/>
  <c r="G32" i="64" s="1"/>
  <c r="E15" i="64"/>
  <c r="F17" i="64"/>
  <c r="G17" i="64"/>
  <c r="G19" i="64" s="1"/>
  <c r="E19" i="64"/>
  <c r="F19" i="64"/>
  <c r="F21" i="64"/>
  <c r="G21" i="64" s="1"/>
  <c r="G31" i="64" s="1"/>
  <c r="F22" i="64"/>
  <c r="F23" i="64"/>
  <c r="G23" i="64"/>
  <c r="F24" i="64"/>
  <c r="G24" i="64"/>
  <c r="F25" i="64"/>
  <c r="G25" i="64"/>
  <c r="F26" i="64"/>
  <c r="G26" i="64" s="1"/>
  <c r="F27" i="64"/>
  <c r="G27" i="64"/>
  <c r="F28" i="64"/>
  <c r="G28" i="64"/>
  <c r="F29" i="64"/>
  <c r="G29" i="64"/>
  <c r="F30" i="64"/>
  <c r="G30" i="64" s="1"/>
  <c r="E31" i="64"/>
  <c r="C4" i="81"/>
  <c r="H4" i="81" s="1"/>
  <c r="C5" i="81"/>
  <c r="H5" i="81" s="1"/>
  <c r="C6" i="81"/>
  <c r="H6" i="81"/>
  <c r="C7" i="81"/>
  <c r="H7" i="81" s="1"/>
  <c r="B9" i="81"/>
  <c r="B68" i="2" s="1"/>
  <c r="C11" i="81"/>
  <c r="H11" i="81" s="1"/>
  <c r="C12" i="81"/>
  <c r="H12" i="81" s="1"/>
  <c r="H16" i="81" s="1"/>
  <c r="C13" i="81"/>
  <c r="H13" i="81" s="1"/>
  <c r="C14" i="81"/>
  <c r="H14" i="81" s="1"/>
  <c r="B16" i="81"/>
  <c r="B20" i="81"/>
  <c r="C20" i="81"/>
  <c r="H20" i="81"/>
  <c r="B23" i="81"/>
  <c r="C4" i="98"/>
  <c r="H4" i="98" s="1"/>
  <c r="C5" i="98"/>
  <c r="H5" i="98"/>
  <c r="C6" i="98"/>
  <c r="H6" i="98" s="1"/>
  <c r="C7" i="98"/>
  <c r="H7" i="98" s="1"/>
  <c r="B9" i="98"/>
  <c r="C11" i="98"/>
  <c r="H11" i="98"/>
  <c r="C12" i="98"/>
  <c r="H12" i="98" s="1"/>
  <c r="C13" i="98"/>
  <c r="H13" i="98" s="1"/>
  <c r="C14" i="98"/>
  <c r="H14" i="98" s="1"/>
  <c r="B16" i="98"/>
  <c r="B20" i="98"/>
  <c r="I21" i="98"/>
  <c r="C22" i="98"/>
  <c r="H22" i="98" s="1"/>
  <c r="C23" i="98"/>
  <c r="H23" i="98" s="1"/>
  <c r="I23" i="98" s="1"/>
  <c r="C24" i="98"/>
  <c r="H24" i="98"/>
  <c r="I24" i="98" s="1"/>
  <c r="C25" i="98"/>
  <c r="H25" i="98" s="1"/>
  <c r="I25" i="98" s="1"/>
  <c r="B26" i="98"/>
  <c r="F3" i="91"/>
  <c r="F4" i="91"/>
  <c r="G4" i="91" s="1"/>
  <c r="F5" i="91"/>
  <c r="G5" i="91"/>
  <c r="F6" i="91"/>
  <c r="G6" i="91" s="1"/>
  <c r="E8" i="91"/>
  <c r="F10" i="91"/>
  <c r="G10" i="91"/>
  <c r="F11" i="91"/>
  <c r="F12" i="91"/>
  <c r="G12" i="91" s="1"/>
  <c r="G15" i="91" s="1"/>
  <c r="F13" i="91"/>
  <c r="G13" i="91" s="1"/>
  <c r="E15" i="91"/>
  <c r="F17" i="91"/>
  <c r="E19" i="91"/>
  <c r="F21" i="91"/>
  <c r="G21" i="91"/>
  <c r="F22" i="91"/>
  <c r="F23" i="91"/>
  <c r="F24" i="91"/>
  <c r="G24" i="91" s="1"/>
  <c r="F25" i="91"/>
  <c r="G25" i="91"/>
  <c r="F26" i="91"/>
  <c r="G26" i="91" s="1"/>
  <c r="F27" i="91"/>
  <c r="G27" i="91"/>
  <c r="F28" i="91"/>
  <c r="G28" i="91" s="1"/>
  <c r="F29" i="91"/>
  <c r="G29" i="91"/>
  <c r="F30" i="91"/>
  <c r="G30" i="91" s="1"/>
  <c r="E31" i="91"/>
  <c r="F3" i="92"/>
  <c r="F4" i="92"/>
  <c r="G4" i="92" s="1"/>
  <c r="F5" i="92"/>
  <c r="G5" i="92" s="1"/>
  <c r="F6" i="92"/>
  <c r="G6" i="92"/>
  <c r="E8" i="92"/>
  <c r="F10" i="92"/>
  <c r="F11" i="92"/>
  <c r="G11" i="92" s="1"/>
  <c r="F12" i="92"/>
  <c r="G12" i="92" s="1"/>
  <c r="F13" i="92"/>
  <c r="G13" i="92" s="1"/>
  <c r="E15" i="92"/>
  <c r="F17" i="92"/>
  <c r="G17" i="92"/>
  <c r="G19" i="92" s="1"/>
  <c r="E19" i="92"/>
  <c r="F19" i="92"/>
  <c r="F21" i="92"/>
  <c r="F22" i="92"/>
  <c r="G22" i="92" s="1"/>
  <c r="F23" i="92"/>
  <c r="G23" i="92"/>
  <c r="E31" i="92"/>
  <c r="F3" i="87"/>
  <c r="G3" i="87" s="1"/>
  <c r="F4" i="87"/>
  <c r="G4" i="87" s="1"/>
  <c r="F5" i="87"/>
  <c r="G5" i="87"/>
  <c r="F6" i="87"/>
  <c r="E8" i="87"/>
  <c r="B67" i="123" s="1"/>
  <c r="L67" i="123" s="1"/>
  <c r="F10" i="87"/>
  <c r="G10" i="87" s="1"/>
  <c r="F11" i="87"/>
  <c r="G11" i="87"/>
  <c r="F12" i="87"/>
  <c r="F13" i="87"/>
  <c r="G13" i="87" s="1"/>
  <c r="E15" i="87"/>
  <c r="F17" i="87"/>
  <c r="G17" i="87"/>
  <c r="G19" i="87" s="1"/>
  <c r="E19" i="87"/>
  <c r="F19" i="87"/>
  <c r="F21" i="87"/>
  <c r="G21" i="87" s="1"/>
  <c r="F22" i="87"/>
  <c r="G22" i="87"/>
  <c r="F23" i="87"/>
  <c r="G23" i="87" s="1"/>
  <c r="F24" i="87"/>
  <c r="G24" i="87" s="1"/>
  <c r="F25" i="87"/>
  <c r="G25" i="87" s="1"/>
  <c r="F26" i="87"/>
  <c r="G26" i="87"/>
  <c r="F27" i="87"/>
  <c r="G27" i="87" s="1"/>
  <c r="F28" i="87"/>
  <c r="G28" i="87" s="1"/>
  <c r="F29" i="87"/>
  <c r="G29" i="87" s="1"/>
  <c r="F30" i="87"/>
  <c r="G30" i="87" s="1"/>
  <c r="E31" i="87"/>
  <c r="C4" i="88"/>
  <c r="H4" i="88" s="1"/>
  <c r="C5" i="88"/>
  <c r="C6" i="88"/>
  <c r="H6" i="88" s="1"/>
  <c r="C7" i="88"/>
  <c r="H7" i="88" s="1"/>
  <c r="B9" i="88"/>
  <c r="B66" i="123" s="1"/>
  <c r="L66" i="123" s="1"/>
  <c r="C11" i="88"/>
  <c r="H11" i="88" s="1"/>
  <c r="C12" i="88"/>
  <c r="H12" i="88" s="1"/>
  <c r="C13" i="88"/>
  <c r="H13" i="88" s="1"/>
  <c r="C14" i="88"/>
  <c r="H14" i="88" s="1"/>
  <c r="B16" i="88"/>
  <c r="C64" i="109" s="1"/>
  <c r="B19" i="88"/>
  <c r="I20" i="88"/>
  <c r="C21" i="88"/>
  <c r="H21" i="88" s="1"/>
  <c r="I21" i="88" s="1"/>
  <c r="C22" i="88"/>
  <c r="H22" i="88" s="1"/>
  <c r="I22" i="88" s="1"/>
  <c r="B23" i="88"/>
  <c r="C4" i="89"/>
  <c r="H4" i="89" s="1"/>
  <c r="C5" i="89"/>
  <c r="H5" i="89" s="1"/>
  <c r="C6" i="89"/>
  <c r="H6" i="89"/>
  <c r="C7" i="89"/>
  <c r="H7" i="89" s="1"/>
  <c r="B9" i="89"/>
  <c r="B65" i="123" s="1"/>
  <c r="L65" i="123" s="1"/>
  <c r="C11" i="89"/>
  <c r="H11" i="89" s="1"/>
  <c r="C12" i="89"/>
  <c r="H12" i="89" s="1"/>
  <c r="C13" i="89"/>
  <c r="H13" i="89" s="1"/>
  <c r="H16" i="89" s="1"/>
  <c r="C14" i="89"/>
  <c r="H14" i="89"/>
  <c r="B16" i="89"/>
  <c r="B20" i="89"/>
  <c r="I21" i="89"/>
  <c r="C22" i="89"/>
  <c r="H22" i="89" s="1"/>
  <c r="I22" i="89" s="1"/>
  <c r="C23" i="89"/>
  <c r="C26" i="89"/>
  <c r="H23" i="89"/>
  <c r="I23" i="89" s="1"/>
  <c r="C24" i="89"/>
  <c r="H24" i="89"/>
  <c r="I24" i="89" s="1"/>
  <c r="I25" i="89"/>
  <c r="B26" i="89"/>
  <c r="C4" i="90"/>
  <c r="C5" i="90"/>
  <c r="H5" i="90" s="1"/>
  <c r="C6" i="90"/>
  <c r="H6" i="90" s="1"/>
  <c r="C7" i="90"/>
  <c r="H7" i="90" s="1"/>
  <c r="B9" i="90"/>
  <c r="C11" i="90"/>
  <c r="H11" i="90" s="1"/>
  <c r="C12" i="90"/>
  <c r="H12" i="90" s="1"/>
  <c r="C13" i="90"/>
  <c r="H13" i="90" s="1"/>
  <c r="C14" i="90"/>
  <c r="H14" i="90" s="1"/>
  <c r="B16" i="90"/>
  <c r="C62" i="109"/>
  <c r="B19" i="90"/>
  <c r="I20" i="90"/>
  <c r="C21" i="90"/>
  <c r="H21" i="90" s="1"/>
  <c r="I21" i="90" s="1"/>
  <c r="C22" i="90"/>
  <c r="H22" i="90" s="1"/>
  <c r="C23" i="90"/>
  <c r="H23" i="90" s="1"/>
  <c r="I23" i="90" s="1"/>
  <c r="B24" i="90"/>
  <c r="C4" i="82"/>
  <c r="H4" i="82"/>
  <c r="C5" i="82"/>
  <c r="H5" i="82" s="1"/>
  <c r="C6" i="82"/>
  <c r="H6" i="82"/>
  <c r="C7" i="82"/>
  <c r="H7" i="82" s="1"/>
  <c r="B9" i="82"/>
  <c r="C11" i="82"/>
  <c r="H11" i="82" s="1"/>
  <c r="C12" i="82"/>
  <c r="H12" i="82" s="1"/>
  <c r="C13" i="82"/>
  <c r="H13" i="82" s="1"/>
  <c r="C16" i="82"/>
  <c r="C14" i="82"/>
  <c r="H14" i="82" s="1"/>
  <c r="B16" i="82"/>
  <c r="B19" i="82"/>
  <c r="H20" i="82"/>
  <c r="I20" i="82" s="1"/>
  <c r="C21" i="82"/>
  <c r="C22" i="82"/>
  <c r="H22" i="82" s="1"/>
  <c r="I22" i="82" s="1"/>
  <c r="C23" i="82"/>
  <c r="H23" i="82" s="1"/>
  <c r="I23" i="82" s="1"/>
  <c r="B24" i="82"/>
  <c r="C4" i="83"/>
  <c r="H4" i="83" s="1"/>
  <c r="C5" i="83"/>
  <c r="H5" i="83" s="1"/>
  <c r="C6" i="83"/>
  <c r="H6" i="83" s="1"/>
  <c r="C7" i="83"/>
  <c r="H7" i="83" s="1"/>
  <c r="B9" i="83"/>
  <c r="C11" i="83"/>
  <c r="H11" i="83" s="1"/>
  <c r="C12" i="83"/>
  <c r="H12" i="83" s="1"/>
  <c r="C13" i="83"/>
  <c r="C14" i="83"/>
  <c r="H14" i="83" s="1"/>
  <c r="B16" i="83"/>
  <c r="C60" i="109" s="1"/>
  <c r="B18" i="83"/>
  <c r="B20" i="83" s="1"/>
  <c r="C22" i="83"/>
  <c r="H22" i="83" s="1"/>
  <c r="C23" i="83"/>
  <c r="C24" i="83"/>
  <c r="H24" i="83" s="1"/>
  <c r="I24" i="83" s="1"/>
  <c r="B25" i="83"/>
  <c r="C4" i="84"/>
  <c r="H4" i="84"/>
  <c r="C5" i="84"/>
  <c r="H5" i="84" s="1"/>
  <c r="C6" i="84"/>
  <c r="H6" i="84" s="1"/>
  <c r="C7" i="84"/>
  <c r="H7" i="84"/>
  <c r="B9" i="84"/>
  <c r="C11" i="84"/>
  <c r="C12" i="84"/>
  <c r="H12" i="84" s="1"/>
  <c r="C13" i="84"/>
  <c r="H13" i="84" s="1"/>
  <c r="C14" i="84"/>
  <c r="H14" i="84" s="1"/>
  <c r="B16" i="84"/>
  <c r="C59" i="109" s="1"/>
  <c r="B19" i="84"/>
  <c r="C19" i="84"/>
  <c r="H20" i="84"/>
  <c r="I20" i="84" s="1"/>
  <c r="C21" i="84"/>
  <c r="H21" i="84" s="1"/>
  <c r="I21" i="84" s="1"/>
  <c r="H22" i="84"/>
  <c r="I22" i="84" s="1"/>
  <c r="B23" i="84"/>
  <c r="C4" i="85"/>
  <c r="H4" i="85" s="1"/>
  <c r="C5" i="85"/>
  <c r="H5" i="85"/>
  <c r="C6" i="85"/>
  <c r="H6" i="85" s="1"/>
  <c r="C7" i="85"/>
  <c r="H7" i="85" s="1"/>
  <c r="B9" i="85"/>
  <c r="B60" i="123" s="1"/>
  <c r="L60" i="123" s="1"/>
  <c r="C11" i="85"/>
  <c r="H11" i="85"/>
  <c r="C12" i="85"/>
  <c r="H12" i="85" s="1"/>
  <c r="C13" i="85"/>
  <c r="H13" i="85" s="1"/>
  <c r="C14" i="85"/>
  <c r="H14" i="85"/>
  <c r="B16" i="85"/>
  <c r="C60" i="2" s="1"/>
  <c r="B20" i="85"/>
  <c r="I21" i="85"/>
  <c r="C22" i="85"/>
  <c r="H22" i="85" s="1"/>
  <c r="C23" i="85"/>
  <c r="H23" i="85"/>
  <c r="I23" i="85" s="1"/>
  <c r="C24" i="85"/>
  <c r="H24" i="85"/>
  <c r="I24" i="85" s="1"/>
  <c r="I25" i="85"/>
  <c r="B26" i="85"/>
  <c r="C4" i="86"/>
  <c r="H4" i="86" s="1"/>
  <c r="C5" i="86"/>
  <c r="H5" i="86" s="1"/>
  <c r="C6" i="86"/>
  <c r="H6" i="86"/>
  <c r="C7" i="86"/>
  <c r="H7" i="86" s="1"/>
  <c r="B9" i="86"/>
  <c r="B59" i="2"/>
  <c r="C11" i="86"/>
  <c r="H11" i="86" s="1"/>
  <c r="C12" i="86"/>
  <c r="H12" i="86" s="1"/>
  <c r="C13" i="86"/>
  <c r="H13" i="86" s="1"/>
  <c r="C14" i="86"/>
  <c r="H14" i="86" s="1"/>
  <c r="B16" i="86"/>
  <c r="B20" i="86"/>
  <c r="I21" i="86"/>
  <c r="C22" i="86"/>
  <c r="H22" i="86" s="1"/>
  <c r="C23" i="86"/>
  <c r="H23" i="86" s="1"/>
  <c r="I23" i="86" s="1"/>
  <c r="C24" i="86"/>
  <c r="H24" i="86" s="1"/>
  <c r="I24" i="86" s="1"/>
  <c r="B25" i="86"/>
  <c r="C4" i="65"/>
  <c r="H4" i="65" s="1"/>
  <c r="C5" i="65"/>
  <c r="C6" i="65"/>
  <c r="H6" i="65"/>
  <c r="C7" i="65"/>
  <c r="H7" i="65" s="1"/>
  <c r="B9" i="65"/>
  <c r="B58" i="123" s="1"/>
  <c r="L58" i="123" s="1"/>
  <c r="C11" i="65"/>
  <c r="H11" i="65" s="1"/>
  <c r="C12" i="65"/>
  <c r="H12" i="65" s="1"/>
  <c r="C13" i="65"/>
  <c r="H13" i="65" s="1"/>
  <c r="C14" i="65"/>
  <c r="H14" i="65" s="1"/>
  <c r="B16" i="65"/>
  <c r="C58" i="2" s="1"/>
  <c r="B20" i="65"/>
  <c r="I21" i="65"/>
  <c r="C22" i="65"/>
  <c r="C23" i="65"/>
  <c r="H23" i="65" s="1"/>
  <c r="I23" i="65" s="1"/>
  <c r="C24" i="65"/>
  <c r="H24" i="65" s="1"/>
  <c r="I24" i="65" s="1"/>
  <c r="I25" i="65"/>
  <c r="B26" i="65"/>
  <c r="C4" i="67"/>
  <c r="H4" i="67" s="1"/>
  <c r="C5" i="67"/>
  <c r="H5" i="67" s="1"/>
  <c r="C6" i="67"/>
  <c r="H6" i="67" s="1"/>
  <c r="C7" i="67"/>
  <c r="H7" i="67" s="1"/>
  <c r="B9" i="67"/>
  <c r="B57" i="2"/>
  <c r="C11" i="67"/>
  <c r="C16" i="67" s="1"/>
  <c r="H11" i="67"/>
  <c r="C12" i="67"/>
  <c r="C13" i="67"/>
  <c r="H13" i="67" s="1"/>
  <c r="C14" i="67"/>
  <c r="H14" i="67"/>
  <c r="B16" i="67"/>
  <c r="B20" i="67"/>
  <c r="I21" i="67"/>
  <c r="C22" i="67"/>
  <c r="H22" i="67" s="1"/>
  <c r="C23" i="67"/>
  <c r="H23" i="67" s="1"/>
  <c r="I23" i="67" s="1"/>
  <c r="C24" i="67"/>
  <c r="H24" i="67" s="1"/>
  <c r="I24" i="67" s="1"/>
  <c r="I25" i="67"/>
  <c r="B26" i="67"/>
  <c r="C4" i="68"/>
  <c r="H4" i="68" s="1"/>
  <c r="C5" i="68"/>
  <c r="H5" i="68" s="1"/>
  <c r="C6" i="68"/>
  <c r="H6" i="68" s="1"/>
  <c r="C7" i="68"/>
  <c r="H7" i="68" s="1"/>
  <c r="B9" i="68"/>
  <c r="B56" i="123" s="1"/>
  <c r="L56" i="123" s="1"/>
  <c r="B56" i="2"/>
  <c r="C11" i="68"/>
  <c r="H11" i="68" s="1"/>
  <c r="C12" i="68"/>
  <c r="H12" i="68" s="1"/>
  <c r="C13" i="68"/>
  <c r="H13" i="68" s="1"/>
  <c r="C14" i="68"/>
  <c r="H14" i="68"/>
  <c r="B16" i="68"/>
  <c r="C54" i="109" s="1"/>
  <c r="B19" i="68"/>
  <c r="C22" i="68"/>
  <c r="H22" i="68" s="1"/>
  <c r="C23" i="68"/>
  <c r="H23" i="68" s="1"/>
  <c r="H25" i="68" s="1"/>
  <c r="C24" i="68"/>
  <c r="H24" i="68"/>
  <c r="B25" i="68"/>
  <c r="C4" i="69"/>
  <c r="H4" i="69"/>
  <c r="C5" i="69"/>
  <c r="H5" i="69" s="1"/>
  <c r="C6" i="69"/>
  <c r="C9" i="69" s="1"/>
  <c r="C7" i="69"/>
  <c r="H7" i="69" s="1"/>
  <c r="B9" i="69"/>
  <c r="C11" i="69"/>
  <c r="H11" i="69" s="1"/>
  <c r="C12" i="69"/>
  <c r="H12" i="69" s="1"/>
  <c r="C13" i="69"/>
  <c r="H13" i="69" s="1"/>
  <c r="C14" i="69"/>
  <c r="H14" i="69" s="1"/>
  <c r="B16" i="69"/>
  <c r="B20" i="69"/>
  <c r="I21" i="69"/>
  <c r="C22" i="69"/>
  <c r="H22" i="69" s="1"/>
  <c r="C23" i="69"/>
  <c r="H23" i="69" s="1"/>
  <c r="I23" i="69" s="1"/>
  <c r="C24" i="69"/>
  <c r="H24" i="69"/>
  <c r="I24" i="69" s="1"/>
  <c r="B25" i="69"/>
  <c r="C4" i="70"/>
  <c r="H4" i="70" s="1"/>
  <c r="C5" i="70"/>
  <c r="H5" i="70" s="1"/>
  <c r="C6" i="70"/>
  <c r="H6" i="70" s="1"/>
  <c r="C7" i="70"/>
  <c r="H7" i="70" s="1"/>
  <c r="B9" i="70"/>
  <c r="B54" i="123" s="1"/>
  <c r="L54" i="123" s="1"/>
  <c r="B54" i="2"/>
  <c r="B52" i="109"/>
  <c r="C11" i="70"/>
  <c r="H11" i="70" s="1"/>
  <c r="C12" i="70"/>
  <c r="H12" i="70" s="1"/>
  <c r="C13" i="70"/>
  <c r="H13" i="70" s="1"/>
  <c r="C14" i="70"/>
  <c r="H14" i="70" s="1"/>
  <c r="B16" i="70"/>
  <c r="C54" i="2" s="1"/>
  <c r="B19" i="70"/>
  <c r="I20" i="70"/>
  <c r="C21" i="70"/>
  <c r="H21" i="70" s="1"/>
  <c r="C22" i="70"/>
  <c r="H22" i="70" s="1"/>
  <c r="I22" i="70" s="1"/>
  <c r="I23" i="70"/>
  <c r="B24" i="70"/>
  <c r="C4" i="71"/>
  <c r="H4" i="71" s="1"/>
  <c r="H9" i="71" s="1"/>
  <c r="C5" i="71"/>
  <c r="C6" i="71"/>
  <c r="H6" i="71"/>
  <c r="C7" i="71"/>
  <c r="H7" i="71" s="1"/>
  <c r="B9" i="71"/>
  <c r="B53" i="123" s="1"/>
  <c r="L53" i="123" s="1"/>
  <c r="C11" i="71"/>
  <c r="H11" i="71"/>
  <c r="C12" i="71"/>
  <c r="C13" i="71"/>
  <c r="H13" i="71"/>
  <c r="C14" i="71"/>
  <c r="H14" i="71" s="1"/>
  <c r="B16" i="71"/>
  <c r="C53" i="2" s="1"/>
  <c r="B18" i="71"/>
  <c r="B19" i="71" s="1"/>
  <c r="I20" i="71"/>
  <c r="C21" i="71"/>
  <c r="H21" i="71"/>
  <c r="I21" i="71" s="1"/>
  <c r="B22" i="71"/>
  <c r="B8" i="53"/>
  <c r="C10" i="53"/>
  <c r="H10" i="53" s="1"/>
  <c r="B11" i="53"/>
  <c r="B13" i="53"/>
  <c r="B15" i="53"/>
  <c r="C15" i="53"/>
  <c r="B24" i="53"/>
  <c r="C24" i="53" s="1"/>
  <c r="B33" i="53"/>
  <c r="B36" i="53"/>
  <c r="C36" i="53" s="1"/>
  <c r="E36" i="53" s="1"/>
  <c r="B38" i="53"/>
  <c r="C38" i="53" s="1"/>
  <c r="B50" i="53"/>
  <c r="C50" i="53"/>
  <c r="B9" i="52"/>
  <c r="I31" i="56"/>
  <c r="H31" i="56" s="1"/>
  <c r="I10" i="52"/>
  <c r="C11" i="52"/>
  <c r="H11" i="52"/>
  <c r="C13" i="52"/>
  <c r="I12" i="52"/>
  <c r="B13" i="52"/>
  <c r="I14" i="52"/>
  <c r="B15" i="52"/>
  <c r="B22" i="52" s="1"/>
  <c r="B17" i="52"/>
  <c r="C17" i="52" s="1"/>
  <c r="E17" i="52" s="1"/>
  <c r="B26" i="52"/>
  <c r="B34" i="52"/>
  <c r="B40" i="52"/>
  <c r="B43" i="52" s="1"/>
  <c r="C40" i="52"/>
  <c r="E40" i="52" s="1"/>
  <c r="I44" i="52"/>
  <c r="B46" i="52"/>
  <c r="I47" i="52"/>
  <c r="B49" i="52"/>
  <c r="B64" i="52"/>
  <c r="I9" i="49"/>
  <c r="B16" i="49"/>
  <c r="B22" i="49"/>
  <c r="B25" i="49"/>
  <c r="B30" i="49"/>
  <c r="B35" i="49"/>
  <c r="B8" i="47"/>
  <c r="B17" i="47"/>
  <c r="B29" i="47"/>
  <c r="C29" i="47" s="1"/>
  <c r="B7" i="48"/>
  <c r="I30" i="56" s="1"/>
  <c r="H30" i="56" s="1"/>
  <c r="I8" i="48"/>
  <c r="B16" i="48"/>
  <c r="B23" i="48"/>
  <c r="B26" i="48"/>
  <c r="B31" i="48"/>
  <c r="B34" i="48"/>
  <c r="B39" i="48"/>
  <c r="C39" i="48" s="1"/>
  <c r="E39" i="48" s="1"/>
  <c r="B41" i="48"/>
  <c r="B9" i="46"/>
  <c r="I29" i="56"/>
  <c r="H29" i="56" s="1"/>
  <c r="B14" i="46"/>
  <c r="B18" i="46" s="1"/>
  <c r="B22" i="46"/>
  <c r="B25" i="46" s="1"/>
  <c r="B28" i="46"/>
  <c r="C28" i="46" s="1"/>
  <c r="B34" i="46"/>
  <c r="B7" i="45"/>
  <c r="I8" i="45"/>
  <c r="B18" i="45"/>
  <c r="I19" i="45"/>
  <c r="B30" i="45"/>
  <c r="B33" i="45"/>
  <c r="C33" i="45" s="1"/>
  <c r="B44" i="45"/>
  <c r="B7" i="44"/>
  <c r="I8" i="44"/>
  <c r="B19" i="44"/>
  <c r="I20" i="44"/>
  <c r="B31" i="44"/>
  <c r="B35" i="44"/>
  <c r="B39" i="44"/>
  <c r="B50" i="44"/>
  <c r="C10" i="40"/>
  <c r="C13" i="40" s="1"/>
  <c r="D10" i="40"/>
  <c r="D13" i="40" s="1"/>
  <c r="E10" i="40"/>
  <c r="E13" i="40"/>
  <c r="C26" i="40"/>
  <c r="C27" i="40" s="1"/>
  <c r="D26" i="40"/>
  <c r="D27" i="40" s="1"/>
  <c r="E26" i="40"/>
  <c r="B7" i="31"/>
  <c r="B9" i="31" s="1"/>
  <c r="C7" i="31"/>
  <c r="C9" i="31" s="1"/>
  <c r="B13" i="63"/>
  <c r="B15" i="63" s="1"/>
  <c r="B11" i="32"/>
  <c r="B13" i="32"/>
  <c r="B16" i="32" s="1"/>
  <c r="C13" i="99"/>
  <c r="B11" i="99"/>
  <c r="B13" i="99" s="1"/>
  <c r="J40" i="109" s="1"/>
  <c r="D13" i="99"/>
  <c r="E14" i="33"/>
  <c r="E15" i="33" s="1"/>
  <c r="F14" i="33"/>
  <c r="G14" i="33"/>
  <c r="G15" i="33"/>
  <c r="F15" i="33"/>
  <c r="B5" i="19"/>
  <c r="C5" i="19"/>
  <c r="B9" i="19"/>
  <c r="B11" i="19" s="1"/>
  <c r="C9" i="19"/>
  <c r="C11" i="19" s="1"/>
  <c r="H9" i="19"/>
  <c r="B6" i="43"/>
  <c r="I6" i="43"/>
  <c r="B9" i="43"/>
  <c r="B10" i="43" s="1"/>
  <c r="B12" i="43" s="1"/>
  <c r="C10" i="43"/>
  <c r="C12" i="43" s="1"/>
  <c r="B9" i="25"/>
  <c r="I10" i="25"/>
  <c r="B20" i="25"/>
  <c r="B28" i="25" s="1"/>
  <c r="B9" i="26"/>
  <c r="B22" i="26"/>
  <c r="C22" i="26" s="1"/>
  <c r="E22" i="26" s="1"/>
  <c r="B31" i="26"/>
  <c r="B9" i="112"/>
  <c r="B36" i="112"/>
  <c r="I37" i="112"/>
  <c r="B8" i="28"/>
  <c r="I9" i="28"/>
  <c r="B19" i="28"/>
  <c r="C19" i="28" s="1"/>
  <c r="E19" i="28" s="1"/>
  <c r="I21" i="28"/>
  <c r="B9" i="27"/>
  <c r="I10" i="27"/>
  <c r="B22" i="27"/>
  <c r="C22" i="27"/>
  <c r="I24" i="27"/>
  <c r="B13" i="30"/>
  <c r="B28" i="30"/>
  <c r="I29" i="30"/>
  <c r="B31" i="30"/>
  <c r="B40" i="30"/>
  <c r="C40" i="30" s="1"/>
  <c r="I55" i="30"/>
  <c r="B10" i="29"/>
  <c r="B20" i="29"/>
  <c r="B30" i="29"/>
  <c r="B36" i="29" s="1"/>
  <c r="B33" i="29"/>
  <c r="I10" i="42"/>
  <c r="I20" i="42"/>
  <c r="I26" i="42"/>
  <c r="B9" i="20"/>
  <c r="I10" i="20"/>
  <c r="B17" i="20"/>
  <c r="B22" i="20"/>
  <c r="B26" i="20" s="1"/>
  <c r="B24" i="20"/>
  <c r="C24" i="20" s="1"/>
  <c r="E24" i="20" s="1"/>
  <c r="C25" i="20"/>
  <c r="H25" i="20" s="1"/>
  <c r="I25" i="20" s="1"/>
  <c r="I11" i="21"/>
  <c r="I21" i="21"/>
  <c r="I38" i="21"/>
  <c r="I11" i="22"/>
  <c r="I38" i="22"/>
  <c r="B10" i="23"/>
  <c r="I11" i="23"/>
  <c r="B17" i="23"/>
  <c r="B20" i="23"/>
  <c r="I21" i="23"/>
  <c r="B23" i="23"/>
  <c r="B29" i="23"/>
  <c r="B31" i="23" s="1"/>
  <c r="C29" i="23"/>
  <c r="I32" i="23"/>
  <c r="I12" i="24"/>
  <c r="I23" i="24"/>
  <c r="B11" i="59"/>
  <c r="I12" i="59"/>
  <c r="B17" i="59"/>
  <c r="I18" i="59"/>
  <c r="B21" i="59"/>
  <c r="B28" i="59"/>
  <c r="B31" i="59" s="1"/>
  <c r="I15" i="62"/>
  <c r="I20" i="62"/>
  <c r="I40" i="62"/>
  <c r="B11" i="60"/>
  <c r="B17" i="60"/>
  <c r="B22" i="60"/>
  <c r="B32" i="60"/>
  <c r="B12" i="3"/>
  <c r="B19" i="3"/>
  <c r="B23" i="3"/>
  <c r="B27" i="3"/>
  <c r="B34" i="3"/>
  <c r="B38" i="3" s="1"/>
  <c r="C34" i="3"/>
  <c r="E34" i="3" s="1"/>
  <c r="B4" i="4"/>
  <c r="C4" i="4"/>
  <c r="H4" i="4"/>
  <c r="I4" i="4" s="1"/>
  <c r="B5" i="4"/>
  <c r="C5" i="4" s="1"/>
  <c r="E5" i="4" s="1"/>
  <c r="B6" i="4"/>
  <c r="C6" i="4" s="1"/>
  <c r="E6" i="4" s="1"/>
  <c r="B8" i="4"/>
  <c r="C8" i="4" s="1"/>
  <c r="E8" i="4" s="1"/>
  <c r="B11" i="4"/>
  <c r="B16" i="4" s="1"/>
  <c r="B12" i="4"/>
  <c r="C12" i="4" s="1"/>
  <c r="E12" i="4" s="1"/>
  <c r="B13" i="4"/>
  <c r="C13" i="4" s="1"/>
  <c r="E13" i="4" s="1"/>
  <c r="B15" i="4"/>
  <c r="C25" i="4" s="1"/>
  <c r="E25" i="4" s="1"/>
  <c r="B19" i="4"/>
  <c r="B22" i="4"/>
  <c r="B31" i="4"/>
  <c r="B11" i="5"/>
  <c r="B19" i="5"/>
  <c r="B22" i="5"/>
  <c r="B25" i="5"/>
  <c r="B30" i="5"/>
  <c r="B36" i="5" s="1"/>
  <c r="B9" i="6"/>
  <c r="B16" i="6"/>
  <c r="B25" i="6"/>
  <c r="B9" i="7"/>
  <c r="B40" i="7" s="1"/>
  <c r="O19" i="109" s="1"/>
  <c r="B16" i="7"/>
  <c r="B20" i="7"/>
  <c r="B38" i="7"/>
  <c r="B43" i="7"/>
  <c r="B9" i="38"/>
  <c r="B16" i="38"/>
  <c r="B19" i="38"/>
  <c r="B23" i="38"/>
  <c r="B26" i="38"/>
  <c r="O40" i="109"/>
  <c r="B10" i="9"/>
  <c r="B17" i="9"/>
  <c r="B20" i="9"/>
  <c r="B23" i="9"/>
  <c r="B28" i="9"/>
  <c r="C28" i="9" s="1"/>
  <c r="E28" i="9" s="1"/>
  <c r="B33" i="9"/>
  <c r="B9" i="11"/>
  <c r="B19" i="11"/>
  <c r="B25" i="11"/>
  <c r="B29" i="11" s="1"/>
  <c r="B9" i="12"/>
  <c r="B25" i="12"/>
  <c r="O15" i="109" s="1"/>
  <c r="B16" i="12"/>
  <c r="B23" i="12"/>
  <c r="B11" i="14"/>
  <c r="B19" i="14"/>
  <c r="B23" i="14"/>
  <c r="B26" i="14"/>
  <c r="B32" i="14"/>
  <c r="B34" i="14"/>
  <c r="B19" i="111"/>
  <c r="B39" i="111" s="1"/>
  <c r="B22" i="111"/>
  <c r="B20" i="110"/>
  <c r="B9" i="15"/>
  <c r="B16" i="15"/>
  <c r="B20" i="15"/>
  <c r="D12" i="109" s="1"/>
  <c r="B24" i="15"/>
  <c r="B32" i="15"/>
  <c r="B9" i="104"/>
  <c r="B16" i="104"/>
  <c r="B20" i="104"/>
  <c r="B24" i="104"/>
  <c r="B34" i="104"/>
  <c r="B9" i="105"/>
  <c r="B16" i="105"/>
  <c r="B19" i="105"/>
  <c r="B26" i="105"/>
  <c r="B32" i="105"/>
  <c r="B9" i="102"/>
  <c r="B16" i="102"/>
  <c r="B19" i="102"/>
  <c r="B24" i="102"/>
  <c r="C24" i="102" s="1"/>
  <c r="B29" i="102"/>
  <c r="H29" i="102"/>
  <c r="I29" i="102" s="1"/>
  <c r="B9" i="101"/>
  <c r="B16" i="101"/>
  <c r="B19" i="101"/>
  <c r="B23" i="101"/>
  <c r="B26" i="101"/>
  <c r="B29" i="101" s="1"/>
  <c r="B15" i="103"/>
  <c r="B24" i="103"/>
  <c r="B27" i="103"/>
  <c r="B35" i="103"/>
  <c r="H35" i="103"/>
  <c r="I35" i="103" s="1"/>
  <c r="B14" i="17"/>
  <c r="B25" i="17"/>
  <c r="B28" i="17"/>
  <c r="B42" i="17"/>
  <c r="B10" i="18"/>
  <c r="B13" i="18"/>
  <c r="C13" i="18" s="1"/>
  <c r="B17" i="18"/>
  <c r="B22" i="18" s="1"/>
  <c r="G57" i="115"/>
  <c r="J57" i="115"/>
  <c r="B79" i="115"/>
  <c r="B84" i="115" s="1"/>
  <c r="B80" i="115"/>
  <c r="H84" i="115"/>
  <c r="B4" i="109"/>
  <c r="L4" i="109" s="1"/>
  <c r="D4" i="109"/>
  <c r="D82" i="109" s="1"/>
  <c r="I4" i="109"/>
  <c r="I82" i="109" s="1"/>
  <c r="B5" i="109"/>
  <c r="L5" i="109" s="1"/>
  <c r="C5" i="109"/>
  <c r="C82" i="109" s="1"/>
  <c r="D5" i="109"/>
  <c r="I5" i="109"/>
  <c r="B6" i="109"/>
  <c r="L6" i="109" s="1"/>
  <c r="C6" i="109"/>
  <c r="D6" i="109"/>
  <c r="I6" i="109"/>
  <c r="B7" i="109"/>
  <c r="L7" i="109" s="1"/>
  <c r="C7" i="109"/>
  <c r="D7" i="109"/>
  <c r="F7" i="109"/>
  <c r="F82" i="109" s="1"/>
  <c r="I7" i="109"/>
  <c r="B8" i="109"/>
  <c r="L8" i="109" s="1"/>
  <c r="C8" i="109"/>
  <c r="F8" i="109"/>
  <c r="I8" i="109"/>
  <c r="B9" i="109"/>
  <c r="L9" i="109" s="1"/>
  <c r="C9" i="109"/>
  <c r="I9" i="109"/>
  <c r="B10" i="109"/>
  <c r="L10" i="109" s="1"/>
  <c r="C10" i="109"/>
  <c r="F10" i="109"/>
  <c r="I10" i="109"/>
  <c r="B11" i="109"/>
  <c r="L11" i="109" s="1"/>
  <c r="C11" i="109"/>
  <c r="F11" i="109"/>
  <c r="I11" i="109"/>
  <c r="B12" i="109"/>
  <c r="L12" i="109"/>
  <c r="C12" i="109"/>
  <c r="F12" i="109"/>
  <c r="I12" i="109"/>
  <c r="J12" i="109"/>
  <c r="B13" i="109"/>
  <c r="L13" i="109" s="1"/>
  <c r="C13" i="109"/>
  <c r="D13" i="109"/>
  <c r="F13" i="109"/>
  <c r="I13" i="109"/>
  <c r="B14" i="109"/>
  <c r="L14" i="109"/>
  <c r="C14" i="109"/>
  <c r="D14" i="109"/>
  <c r="I14" i="109"/>
  <c r="B15" i="109"/>
  <c r="L15" i="109" s="1"/>
  <c r="C15" i="109"/>
  <c r="I15" i="109"/>
  <c r="B16" i="109"/>
  <c r="L16" i="109" s="1"/>
  <c r="C16" i="109"/>
  <c r="D16" i="109"/>
  <c r="I16" i="109"/>
  <c r="B17" i="109"/>
  <c r="L17" i="109" s="1"/>
  <c r="C17" i="109"/>
  <c r="D17" i="109"/>
  <c r="F17" i="109"/>
  <c r="I17" i="109"/>
  <c r="K17" i="109"/>
  <c r="K82" i="109" s="1"/>
  <c r="B18" i="109"/>
  <c r="L18" i="109" s="1"/>
  <c r="C18" i="109"/>
  <c r="D18" i="109"/>
  <c r="F18" i="109"/>
  <c r="G18" i="109"/>
  <c r="G82" i="109" s="1"/>
  <c r="H18" i="109"/>
  <c r="I18" i="109"/>
  <c r="K18" i="109"/>
  <c r="B19" i="109"/>
  <c r="L19" i="109" s="1"/>
  <c r="C19" i="109"/>
  <c r="F19" i="109"/>
  <c r="I19" i="109"/>
  <c r="B20" i="109"/>
  <c r="L20" i="109" s="1"/>
  <c r="C20" i="109"/>
  <c r="I20" i="109"/>
  <c r="B21" i="109"/>
  <c r="L21" i="109" s="1"/>
  <c r="C21" i="109"/>
  <c r="D21" i="109"/>
  <c r="F21" i="109"/>
  <c r="I21" i="109"/>
  <c r="B22" i="109"/>
  <c r="L22" i="109" s="1"/>
  <c r="C22" i="109"/>
  <c r="D22" i="109"/>
  <c r="F22" i="109"/>
  <c r="I22" i="109"/>
  <c r="B23" i="109"/>
  <c r="L23" i="109" s="1"/>
  <c r="C23" i="109"/>
  <c r="D23" i="109"/>
  <c r="F23" i="109"/>
  <c r="I23" i="109"/>
  <c r="J23" i="109"/>
  <c r="B24" i="109"/>
  <c r="L24" i="109" s="1"/>
  <c r="C24" i="109"/>
  <c r="F24" i="109"/>
  <c r="I24" i="109"/>
  <c r="B25" i="109"/>
  <c r="L25" i="109" s="1"/>
  <c r="C25" i="109"/>
  <c r="F25" i="109"/>
  <c r="I25" i="109"/>
  <c r="B26" i="109"/>
  <c r="L26" i="109" s="1"/>
  <c r="C26" i="109"/>
  <c r="F26" i="109"/>
  <c r="I26" i="109"/>
  <c r="B27" i="109"/>
  <c r="L27" i="109" s="1"/>
  <c r="C27" i="109"/>
  <c r="F27" i="109"/>
  <c r="I27" i="109"/>
  <c r="B28" i="109"/>
  <c r="L28" i="109" s="1"/>
  <c r="C28" i="109"/>
  <c r="D28" i="109"/>
  <c r="F28" i="109"/>
  <c r="I28" i="109"/>
  <c r="J28" i="109"/>
  <c r="B29" i="109"/>
  <c r="L29" i="109" s="1"/>
  <c r="C29" i="109"/>
  <c r="D29" i="109"/>
  <c r="F29" i="109"/>
  <c r="I29" i="109"/>
  <c r="B30" i="109"/>
  <c r="C30" i="109"/>
  <c r="D30" i="109"/>
  <c r="I30" i="109"/>
  <c r="L30" i="109"/>
  <c r="B31" i="109"/>
  <c r="L31" i="109" s="1"/>
  <c r="C31" i="109"/>
  <c r="D31" i="109"/>
  <c r="F31" i="109"/>
  <c r="I31" i="109"/>
  <c r="J31" i="109"/>
  <c r="B32" i="109"/>
  <c r="L32" i="109"/>
  <c r="C32" i="109"/>
  <c r="D32" i="109"/>
  <c r="I32" i="109"/>
  <c r="B33" i="109"/>
  <c r="L33" i="109" s="1"/>
  <c r="C33" i="109"/>
  <c r="D33" i="109"/>
  <c r="F33" i="109"/>
  <c r="G33" i="109"/>
  <c r="I33" i="109"/>
  <c r="J33" i="109"/>
  <c r="B34" i="109"/>
  <c r="L34" i="109" s="1"/>
  <c r="C34" i="109"/>
  <c r="D34" i="109"/>
  <c r="F34" i="109"/>
  <c r="I34" i="109"/>
  <c r="B35" i="109"/>
  <c r="L35" i="109" s="1"/>
  <c r="C35" i="109"/>
  <c r="D35" i="109"/>
  <c r="I35" i="109"/>
  <c r="B36" i="109"/>
  <c r="L36" i="109" s="1"/>
  <c r="C36" i="109"/>
  <c r="I36" i="109"/>
  <c r="B37" i="109"/>
  <c r="L37" i="109" s="1"/>
  <c r="C37" i="109"/>
  <c r="I37" i="109"/>
  <c r="B38" i="109"/>
  <c r="L38" i="109"/>
  <c r="C38" i="109"/>
  <c r="I38" i="109"/>
  <c r="B39" i="109"/>
  <c r="L39" i="109" s="1"/>
  <c r="C39" i="109"/>
  <c r="I39" i="109"/>
  <c r="B40" i="109"/>
  <c r="L40" i="109" s="1"/>
  <c r="C40" i="109"/>
  <c r="D40" i="109"/>
  <c r="I40" i="109"/>
  <c r="K40" i="109"/>
  <c r="C41" i="109"/>
  <c r="F41" i="109"/>
  <c r="I41" i="109"/>
  <c r="C42" i="109"/>
  <c r="F42" i="109"/>
  <c r="I42" i="109"/>
  <c r="B43" i="109"/>
  <c r="C43" i="109"/>
  <c r="F43" i="109"/>
  <c r="I43" i="109"/>
  <c r="C44" i="109"/>
  <c r="F44" i="109"/>
  <c r="I44" i="109"/>
  <c r="F45" i="109"/>
  <c r="I45" i="109"/>
  <c r="F46" i="109"/>
  <c r="I46" i="109"/>
  <c r="B47" i="109"/>
  <c r="C47" i="109"/>
  <c r="L47" i="109" s="1"/>
  <c r="P47" i="109" s="1"/>
  <c r="F47" i="109"/>
  <c r="I47" i="109"/>
  <c r="O47" i="109"/>
  <c r="B48" i="109"/>
  <c r="F48" i="109"/>
  <c r="I48" i="109"/>
  <c r="B49" i="109"/>
  <c r="C49" i="109"/>
  <c r="F49" i="109"/>
  <c r="I49" i="109"/>
  <c r="C50" i="109"/>
  <c r="F50" i="109"/>
  <c r="I50" i="109"/>
  <c r="B51" i="109"/>
  <c r="C51" i="109"/>
  <c r="F51" i="109"/>
  <c r="I51" i="109"/>
  <c r="F52" i="109"/>
  <c r="I52" i="109"/>
  <c r="F53" i="109"/>
  <c r="I53" i="109"/>
  <c r="B54" i="109"/>
  <c r="F54" i="109"/>
  <c r="I54" i="109"/>
  <c r="C55" i="109"/>
  <c r="F55" i="109"/>
  <c r="I55" i="109"/>
  <c r="B56" i="109"/>
  <c r="C56" i="109"/>
  <c r="F56" i="109"/>
  <c r="I56" i="109"/>
  <c r="B57" i="109"/>
  <c r="C57" i="109"/>
  <c r="F57" i="109"/>
  <c r="I57" i="109"/>
  <c r="B58" i="109"/>
  <c r="F58" i="109"/>
  <c r="I58" i="109"/>
  <c r="F59" i="109"/>
  <c r="I59" i="109"/>
  <c r="F60" i="109"/>
  <c r="I60" i="109"/>
  <c r="B61" i="109"/>
  <c r="L61" i="109" s="1"/>
  <c r="C61" i="109"/>
  <c r="F61" i="109"/>
  <c r="I61" i="109"/>
  <c r="F62" i="109"/>
  <c r="I62" i="109"/>
  <c r="B63" i="109"/>
  <c r="F63" i="109"/>
  <c r="I63" i="109"/>
  <c r="B64" i="109"/>
  <c r="F64" i="109"/>
  <c r="I64" i="109"/>
  <c r="B65" i="109"/>
  <c r="C65" i="109"/>
  <c r="F65" i="109"/>
  <c r="I65" i="109"/>
  <c r="C66" i="109"/>
  <c r="F66" i="109"/>
  <c r="I66" i="109"/>
  <c r="C67" i="109"/>
  <c r="F67" i="109"/>
  <c r="I67" i="109"/>
  <c r="F68" i="109"/>
  <c r="I68" i="109"/>
  <c r="B69" i="109"/>
  <c r="C69" i="109"/>
  <c r="F69" i="109"/>
  <c r="I69" i="109"/>
  <c r="B70" i="109"/>
  <c r="C70" i="109"/>
  <c r="F70" i="109"/>
  <c r="I70" i="109"/>
  <c r="F74" i="109"/>
  <c r="G77" i="109"/>
  <c r="P80" i="109"/>
  <c r="P81" i="109"/>
  <c r="J82" i="109"/>
  <c r="B19" i="106"/>
  <c r="B47" i="106"/>
  <c r="B55" i="106"/>
  <c r="E83" i="106"/>
  <c r="E87" i="106" s="1"/>
  <c r="F83" i="106"/>
  <c r="F87" i="106" s="1"/>
  <c r="G83" i="106"/>
  <c r="G87" i="106" s="1"/>
  <c r="B85" i="106"/>
  <c r="H85" i="106" s="1"/>
  <c r="F8" i="2"/>
  <c r="C50" i="2"/>
  <c r="C51" i="2"/>
  <c r="C52" i="2"/>
  <c r="C57" i="2"/>
  <c r="C59" i="2"/>
  <c r="D87" i="2"/>
  <c r="K88" i="2"/>
  <c r="N88" i="2"/>
  <c r="H26" i="38"/>
  <c r="I26" i="38" s="1"/>
  <c r="C35" i="44"/>
  <c r="I4" i="44"/>
  <c r="H33" i="44"/>
  <c r="I33" i="44" s="1"/>
  <c r="C31" i="44"/>
  <c r="H42" i="44"/>
  <c r="I42" i="44" s="1"/>
  <c r="C26" i="52"/>
  <c r="H26" i="52"/>
  <c r="I26" i="52" s="1"/>
  <c r="C34" i="52"/>
  <c r="H56" i="52"/>
  <c r="I56" i="52" s="1"/>
  <c r="H21" i="4"/>
  <c r="H22" i="4" s="1"/>
  <c r="I4" i="24"/>
  <c r="C30" i="5"/>
  <c r="H21" i="101"/>
  <c r="I21" i="101" s="1"/>
  <c r="C9" i="96"/>
  <c r="C16" i="96"/>
  <c r="B68" i="109"/>
  <c r="I21" i="95"/>
  <c r="B67" i="109"/>
  <c r="C23" i="88"/>
  <c r="C24" i="90"/>
  <c r="C19" i="82"/>
  <c r="C23" i="84"/>
  <c r="H23" i="84" s="1"/>
  <c r="I23" i="84" s="1"/>
  <c r="I25" i="84" s="1"/>
  <c r="N61" i="2" s="1"/>
  <c r="I61" i="115" s="1"/>
  <c r="J61" i="115" s="1"/>
  <c r="C9" i="84"/>
  <c r="C16" i="68"/>
  <c r="C22" i="71"/>
  <c r="C16" i="72"/>
  <c r="C19" i="72"/>
  <c r="H18" i="73"/>
  <c r="H19" i="73" s="1"/>
  <c r="B46" i="109"/>
  <c r="I21" i="76"/>
  <c r="H18" i="76"/>
  <c r="H19" i="76" s="1"/>
  <c r="C9" i="76"/>
  <c r="B49" i="123" s="1"/>
  <c r="L49" i="123" s="1"/>
  <c r="B49" i="2"/>
  <c r="C28" i="30"/>
  <c r="H25" i="111"/>
  <c r="C19" i="111"/>
  <c r="H20" i="13"/>
  <c r="I19" i="13"/>
  <c r="I20" i="13"/>
  <c r="C20" i="13"/>
  <c r="H18" i="71"/>
  <c r="H19" i="71" s="1"/>
  <c r="C19" i="71"/>
  <c r="I18" i="76"/>
  <c r="I19" i="76" s="1"/>
  <c r="H19" i="111"/>
  <c r="I19" i="111"/>
  <c r="C23" i="101"/>
  <c r="I28" i="105"/>
  <c r="I18" i="71"/>
  <c r="I19" i="71" s="1"/>
  <c r="H28" i="8"/>
  <c r="I28" i="8" s="1"/>
  <c r="I18" i="32"/>
  <c r="H4" i="11"/>
  <c r="I4" i="11" s="1"/>
  <c r="I19" i="110"/>
  <c r="C24" i="15"/>
  <c r="C26" i="105"/>
  <c r="I22" i="53"/>
  <c r="B29" i="53"/>
  <c r="H18" i="49"/>
  <c r="I18" i="49" s="1"/>
  <c r="C22" i="46"/>
  <c r="E22" i="46" s="1"/>
  <c r="H30" i="45"/>
  <c r="C20" i="67"/>
  <c r="C9" i="67"/>
  <c r="H18" i="27"/>
  <c r="I18" i="27" s="1"/>
  <c r="I4" i="62"/>
  <c r="I29" i="14"/>
  <c r="H22" i="8"/>
  <c r="I22" i="8" s="1"/>
  <c r="I23" i="8" s="1"/>
  <c r="H23" i="53"/>
  <c r="H16" i="47"/>
  <c r="I16" i="47" s="1"/>
  <c r="I4" i="27"/>
  <c r="B23" i="27"/>
  <c r="H39" i="8"/>
  <c r="H40" i="8" s="1"/>
  <c r="I25" i="111"/>
  <c r="H30" i="5"/>
  <c r="I30" i="5" s="1"/>
  <c r="C53" i="109"/>
  <c r="C55" i="2"/>
  <c r="C23" i="38"/>
  <c r="C9" i="71"/>
  <c r="H5" i="71"/>
  <c r="C16" i="69"/>
  <c r="F25" i="16"/>
  <c r="C17" i="18"/>
  <c r="E17" i="18" s="1"/>
  <c r="C20" i="25"/>
  <c r="B41" i="53"/>
  <c r="H12" i="71"/>
  <c r="H11" i="84"/>
  <c r="G22" i="64"/>
  <c r="F31" i="64"/>
  <c r="H4" i="94"/>
  <c r="H9" i="94" s="1"/>
  <c r="H22" i="71"/>
  <c r="I22" i="71" s="1"/>
  <c r="H5" i="74"/>
  <c r="C9" i="68"/>
  <c r="J17" i="51"/>
  <c r="K8" i="51"/>
  <c r="K17" i="51" s="1"/>
  <c r="C32" i="15"/>
  <c r="B37" i="15"/>
  <c r="B39" i="15" s="1"/>
  <c r="O12" i="109" s="1"/>
  <c r="G11" i="91"/>
  <c r="F15" i="91"/>
  <c r="G4" i="75"/>
  <c r="G8" i="75" s="1"/>
  <c r="G25" i="75" s="1"/>
  <c r="N47" i="109" s="1"/>
  <c r="F8" i="75"/>
  <c r="L56" i="109"/>
  <c r="B75" i="52"/>
  <c r="C64" i="52"/>
  <c r="H64" i="52"/>
  <c r="I64" i="52" s="1"/>
  <c r="G17" i="51"/>
  <c r="G25" i="56"/>
  <c r="G44" i="56" s="1"/>
  <c r="I18" i="73"/>
  <c r="I19" i="73" s="1"/>
  <c r="I21" i="73" s="1"/>
  <c r="N51" i="2" s="1"/>
  <c r="I51" i="115" s="1"/>
  <c r="J51" i="115" s="1"/>
  <c r="B25" i="90"/>
  <c r="O62" i="109" s="1"/>
  <c r="G21" i="92"/>
  <c r="G31" i="92" s="1"/>
  <c r="F31" i="92"/>
  <c r="F19" i="91"/>
  <c r="G17" i="91"/>
  <c r="G19" i="91" s="1"/>
  <c r="B37" i="103"/>
  <c r="B60" i="53"/>
  <c r="G23" i="91"/>
  <c r="G8" i="64"/>
  <c r="K28" i="51"/>
  <c r="K29" i="51"/>
  <c r="J29" i="51"/>
  <c r="B21" i="73"/>
  <c r="O49" i="109"/>
  <c r="C16" i="90"/>
  <c r="B67" i="2"/>
  <c r="E32" i="87"/>
  <c r="K70" i="51"/>
  <c r="B27" i="6"/>
  <c r="O20" i="109"/>
  <c r="C24" i="82"/>
  <c r="H24" i="82"/>
  <c r="I24" i="82" s="1"/>
  <c r="E32" i="64"/>
  <c r="B72" i="2"/>
  <c r="H70" i="51"/>
  <c r="C13" i="53"/>
  <c r="G3" i="91"/>
  <c r="G8" i="91" s="1"/>
  <c r="F8" i="91"/>
  <c r="H22" i="93"/>
  <c r="C26" i="93"/>
  <c r="H12" i="67"/>
  <c r="H5" i="65"/>
  <c r="H21" i="82"/>
  <c r="I21" i="82"/>
  <c r="B65" i="2"/>
  <c r="B28" i="89"/>
  <c r="B63" i="106" s="1"/>
  <c r="E32" i="91"/>
  <c r="K19" i="51"/>
  <c r="H22" i="79"/>
  <c r="C25" i="79"/>
  <c r="F15" i="64"/>
  <c r="F32" i="64"/>
  <c r="C16" i="79"/>
  <c r="C20" i="83"/>
  <c r="H18" i="68"/>
  <c r="I18" i="68" s="1"/>
  <c r="I19" i="68" s="1"/>
  <c r="I21" i="68" s="1"/>
  <c r="N56" i="2" s="1"/>
  <c r="I56" i="115" s="1"/>
  <c r="J56" i="115" s="1"/>
  <c r="C19" i="68"/>
  <c r="F31" i="87"/>
  <c r="G10" i="92"/>
  <c r="G15" i="92" s="1"/>
  <c r="F15" i="92"/>
  <c r="H4" i="93"/>
  <c r="H9" i="93" s="1"/>
  <c r="G70" i="51"/>
  <c r="H37" i="51"/>
  <c r="H40" i="51" s="1"/>
  <c r="H72" i="51" s="1"/>
  <c r="G15" i="75"/>
  <c r="B22" i="80"/>
  <c r="O42" i="109" s="1"/>
  <c r="H24" i="54"/>
  <c r="I24" i="54" s="1"/>
  <c r="H18" i="94"/>
  <c r="C19" i="94"/>
  <c r="H5" i="88"/>
  <c r="C16" i="95"/>
  <c r="J70" i="51"/>
  <c r="F15" i="75"/>
  <c r="C9" i="79"/>
  <c r="I18" i="42"/>
  <c r="I19" i="42"/>
  <c r="H11" i="77"/>
  <c r="E43" i="56"/>
  <c r="G43" i="56"/>
  <c r="E44" i="56"/>
  <c r="E46" i="56" s="1"/>
  <c r="H25" i="61"/>
  <c r="I25" i="61" s="1"/>
  <c r="H34" i="42"/>
  <c r="I34" i="42" s="1"/>
  <c r="I26" i="105"/>
  <c r="H26" i="105"/>
  <c r="H11" i="19"/>
  <c r="I23" i="53"/>
  <c r="G25" i="16"/>
  <c r="H25" i="16" s="1"/>
  <c r="H23" i="38"/>
  <c r="I23" i="38" s="1"/>
  <c r="B62" i="106"/>
  <c r="H32" i="15"/>
  <c r="I22" i="79"/>
  <c r="H25" i="79"/>
  <c r="I25" i="79"/>
  <c r="H19" i="68"/>
  <c r="H21" i="68" s="1"/>
  <c r="I22" i="93"/>
  <c r="H26" i="93"/>
  <c r="I26" i="93"/>
  <c r="F25" i="75"/>
  <c r="M47" i="109"/>
  <c r="H19" i="94"/>
  <c r="I18" i="94"/>
  <c r="I19" i="94" s="1"/>
  <c r="O63" i="109"/>
  <c r="I32" i="15"/>
  <c r="I30" i="24"/>
  <c r="I63" i="24" s="1"/>
  <c r="I26" i="24"/>
  <c r="I27" i="24" s="1"/>
  <c r="I13" i="24"/>
  <c r="I19" i="24" s="1"/>
  <c r="I23" i="59"/>
  <c r="I31" i="59" s="1"/>
  <c r="I26" i="62"/>
  <c r="I39" i="62"/>
  <c r="H65" i="24"/>
  <c r="C11" i="53"/>
  <c r="H11" i="26"/>
  <c r="I11" i="26" s="1"/>
  <c r="C30" i="29"/>
  <c r="E30" i="29" s="1"/>
  <c r="C20" i="29"/>
  <c r="H34" i="52"/>
  <c r="I33" i="52"/>
  <c r="I34" i="52"/>
  <c r="H13" i="52"/>
  <c r="I13" i="52"/>
  <c r="I11" i="52"/>
  <c r="H34" i="48"/>
  <c r="I33" i="48"/>
  <c r="I34" i="48" s="1"/>
  <c r="H19" i="47"/>
  <c r="I19" i="47" s="1"/>
  <c r="I4" i="25"/>
  <c r="I11" i="25"/>
  <c r="B54" i="30"/>
  <c r="I15" i="30"/>
  <c r="H20" i="20"/>
  <c r="I20" i="20" s="1"/>
  <c r="H4" i="20"/>
  <c r="I4" i="20" s="1"/>
  <c r="H11" i="20"/>
  <c r="H14" i="20" s="1"/>
  <c r="H19" i="22"/>
  <c r="H20" i="22" s="1"/>
  <c r="H12" i="22"/>
  <c r="I18" i="4"/>
  <c r="I19" i="4"/>
  <c r="I21" i="4"/>
  <c r="I22" i="4" s="1"/>
  <c r="C19" i="4"/>
  <c r="I21" i="5"/>
  <c r="I22" i="5" s="1"/>
  <c r="H22" i="5"/>
  <c r="C36" i="5"/>
  <c r="C22" i="5"/>
  <c r="I19" i="6"/>
  <c r="H11" i="6"/>
  <c r="I11" i="6" s="1"/>
  <c r="C19" i="11"/>
  <c r="H18" i="12"/>
  <c r="I18" i="12" s="1"/>
  <c r="H11" i="12"/>
  <c r="I11" i="12" s="1"/>
  <c r="B36" i="104"/>
  <c r="O11" i="109" s="1"/>
  <c r="H19" i="104"/>
  <c r="I19" i="104" s="1"/>
  <c r="I4" i="102"/>
  <c r="D14" i="40" l="1"/>
  <c r="C14" i="40"/>
  <c r="E29" i="47"/>
  <c r="H29" i="47"/>
  <c r="I29" i="47" s="1"/>
  <c r="G24" i="53"/>
  <c r="E24" i="53"/>
  <c r="H16" i="68"/>
  <c r="H16" i="82"/>
  <c r="G40" i="30"/>
  <c r="E40" i="30"/>
  <c r="G38" i="53"/>
  <c r="E38" i="53"/>
  <c r="H11" i="53"/>
  <c r="I11" i="53" s="1"/>
  <c r="I10" i="53"/>
  <c r="I65" i="24"/>
  <c r="H9" i="88"/>
  <c r="H16" i="84"/>
  <c r="I23" i="71"/>
  <c r="N53" i="2" s="1"/>
  <c r="I53" i="115" s="1"/>
  <c r="J53" i="115" s="1"/>
  <c r="G22" i="27"/>
  <c r="E22" i="27"/>
  <c r="G33" i="45"/>
  <c r="E33" i="45"/>
  <c r="E28" i="46"/>
  <c r="E29" i="46" s="1"/>
  <c r="G28" i="46"/>
  <c r="G29" i="46" s="1"/>
  <c r="F75" i="2" s="1"/>
  <c r="B53" i="109"/>
  <c r="B55" i="123"/>
  <c r="L55" i="123" s="1"/>
  <c r="H9" i="68"/>
  <c r="H26" i="68" s="1"/>
  <c r="H16" i="85"/>
  <c r="H9" i="84"/>
  <c r="F8" i="87"/>
  <c r="G6" i="87"/>
  <c r="B34" i="105"/>
  <c r="O10" i="109" s="1"/>
  <c r="B34" i="60"/>
  <c r="O24" i="109" s="1"/>
  <c r="C16" i="71"/>
  <c r="B27" i="86"/>
  <c r="B59" i="123"/>
  <c r="L59" i="123" s="1"/>
  <c r="C16" i="85"/>
  <c r="C9" i="90"/>
  <c r="G26" i="51"/>
  <c r="G72" i="51" s="1"/>
  <c r="G13" i="53"/>
  <c r="E13" i="53"/>
  <c r="G64" i="52"/>
  <c r="E64" i="52"/>
  <c r="G26" i="52"/>
  <c r="E26" i="52"/>
  <c r="B53" i="2"/>
  <c r="C25" i="69"/>
  <c r="H6" i="69"/>
  <c r="B60" i="2"/>
  <c r="H9" i="85"/>
  <c r="B25" i="84"/>
  <c r="F8" i="92"/>
  <c r="F32" i="92" s="1"/>
  <c r="B69" i="123"/>
  <c r="L69" i="123" s="1"/>
  <c r="B28" i="95"/>
  <c r="B69" i="2"/>
  <c r="H20" i="104"/>
  <c r="I20" i="104" s="1"/>
  <c r="B46" i="2"/>
  <c r="B46" i="123"/>
  <c r="L46" i="123" s="1"/>
  <c r="G20" i="25"/>
  <c r="E20" i="25"/>
  <c r="G30" i="5"/>
  <c r="E30" i="5"/>
  <c r="L65" i="109"/>
  <c r="B24" i="18"/>
  <c r="O4" i="109" s="1"/>
  <c r="H16" i="69"/>
  <c r="C25" i="68"/>
  <c r="C26" i="68" s="1"/>
  <c r="M54" i="109" s="1"/>
  <c r="H9" i="67"/>
  <c r="C26" i="65"/>
  <c r="H9" i="65"/>
  <c r="G12" i="87"/>
  <c r="G15" i="87" s="1"/>
  <c r="F15" i="87"/>
  <c r="H16" i="67"/>
  <c r="G32" i="15"/>
  <c r="E32" i="15"/>
  <c r="H24" i="102"/>
  <c r="I24" i="102" s="1"/>
  <c r="E24" i="102"/>
  <c r="G24" i="102"/>
  <c r="H16" i="71"/>
  <c r="H23" i="71" s="1"/>
  <c r="B58" i="2"/>
  <c r="G31" i="87"/>
  <c r="G8" i="87"/>
  <c r="G32" i="87" s="1"/>
  <c r="E32" i="92"/>
  <c r="C24" i="66"/>
  <c r="H22" i="66"/>
  <c r="I22" i="66" s="1"/>
  <c r="G50" i="53"/>
  <c r="E50" i="53"/>
  <c r="H9" i="86"/>
  <c r="B62" i="109"/>
  <c r="B64" i="123"/>
  <c r="L64" i="123" s="1"/>
  <c r="C9" i="88"/>
  <c r="J26" i="51"/>
  <c r="K22" i="51"/>
  <c r="K26" i="51" s="1"/>
  <c r="I18" i="72"/>
  <c r="I19" i="72" s="1"/>
  <c r="I21" i="72" s="1"/>
  <c r="N52" i="2" s="1"/>
  <c r="I52" i="115" s="1"/>
  <c r="J52" i="115" s="1"/>
  <c r="H19" i="72"/>
  <c r="G4" i="4"/>
  <c r="E4" i="4"/>
  <c r="E9" i="4" s="1"/>
  <c r="G29" i="23"/>
  <c r="E29" i="23"/>
  <c r="B31" i="47"/>
  <c r="G15" i="53"/>
  <c r="E15" i="53"/>
  <c r="B55" i="109"/>
  <c r="B57" i="123"/>
  <c r="L57" i="123" s="1"/>
  <c r="B28" i="65"/>
  <c r="B26" i="82"/>
  <c r="C16" i="89"/>
  <c r="H16" i="88"/>
  <c r="C16" i="94"/>
  <c r="H11" i="94"/>
  <c r="H16" i="94" s="1"/>
  <c r="C9" i="94"/>
  <c r="I18" i="102"/>
  <c r="H19" i="102"/>
  <c r="I19" i="102" s="1"/>
  <c r="I11" i="20"/>
  <c r="I14" i="20" s="1"/>
  <c r="I12" i="22"/>
  <c r="B36" i="14"/>
  <c r="O13" i="109" s="1"/>
  <c r="C11" i="4"/>
  <c r="B9" i="4"/>
  <c r="B33" i="23"/>
  <c r="O29" i="109" s="1"/>
  <c r="B29" i="46"/>
  <c r="B20" i="53"/>
  <c r="B62" i="53" s="1"/>
  <c r="B55" i="2"/>
  <c r="C9" i="86"/>
  <c r="B66" i="2"/>
  <c r="F31" i="91"/>
  <c r="F32" i="91" s="1"/>
  <c r="G22" i="91"/>
  <c r="G31" i="91" s="1"/>
  <c r="G32" i="91" s="1"/>
  <c r="B28" i="98"/>
  <c r="H9" i="95"/>
  <c r="K46" i="51"/>
  <c r="K48" i="51" s="1"/>
  <c r="B26" i="74"/>
  <c r="O48" i="109" s="1"/>
  <c r="B50" i="2"/>
  <c r="B26" i="78"/>
  <c r="O44" i="109" s="1"/>
  <c r="C9" i="78"/>
  <c r="B47" i="2" s="1"/>
  <c r="H16" i="77"/>
  <c r="G18" i="80"/>
  <c r="G20" i="80" s="1"/>
  <c r="E18" i="80"/>
  <c r="E20" i="80" s="1"/>
  <c r="E22" i="80" s="1"/>
  <c r="G7" i="54"/>
  <c r="E7" i="54"/>
  <c r="E20" i="93"/>
  <c r="E27" i="93" s="1"/>
  <c r="F18" i="93"/>
  <c r="F20" i="93" s="1"/>
  <c r="F27" i="93" s="1"/>
  <c r="H18" i="88"/>
  <c r="E18" i="88"/>
  <c r="H18" i="65"/>
  <c r="E18" i="65"/>
  <c r="G4" i="53"/>
  <c r="E4" i="53"/>
  <c r="G23" i="53"/>
  <c r="E23" i="53"/>
  <c r="G37" i="53"/>
  <c r="E37" i="53"/>
  <c r="G55" i="53"/>
  <c r="E55" i="53"/>
  <c r="G67" i="52"/>
  <c r="E67" i="52"/>
  <c r="H27" i="49"/>
  <c r="I27" i="49" s="1"/>
  <c r="E27" i="49"/>
  <c r="G27" i="49"/>
  <c r="G10" i="47"/>
  <c r="E10" i="47"/>
  <c r="G21" i="47"/>
  <c r="E21" i="47"/>
  <c r="G13" i="47"/>
  <c r="E13" i="47"/>
  <c r="G15" i="48"/>
  <c r="E15" i="48"/>
  <c r="G36" i="48"/>
  <c r="E36" i="48"/>
  <c r="G33" i="46"/>
  <c r="E33" i="46"/>
  <c r="G12" i="45"/>
  <c r="E12" i="45"/>
  <c r="H38" i="45"/>
  <c r="I38" i="45" s="1"/>
  <c r="E38" i="45"/>
  <c r="G38" i="45"/>
  <c r="G16" i="44"/>
  <c r="E16" i="44"/>
  <c r="G21" i="44"/>
  <c r="E21" i="44"/>
  <c r="G34" i="44"/>
  <c r="G35" i="44" s="1"/>
  <c r="F73" i="2" s="1"/>
  <c r="E34" i="44"/>
  <c r="E35" i="44" s="1"/>
  <c r="G45" i="44"/>
  <c r="E45" i="44"/>
  <c r="G17" i="28"/>
  <c r="E17" i="28"/>
  <c r="E20" i="28" s="1"/>
  <c r="G30" i="30"/>
  <c r="G31" i="30" s="1"/>
  <c r="F36" i="2" s="1"/>
  <c r="E30" i="30"/>
  <c r="E31" i="30" s="1"/>
  <c r="G4" i="20"/>
  <c r="E4" i="20"/>
  <c r="G5" i="22"/>
  <c r="E5" i="22"/>
  <c r="G28" i="23"/>
  <c r="E28" i="23"/>
  <c r="I24" i="62"/>
  <c r="G6" i="60"/>
  <c r="E6" i="60"/>
  <c r="G28" i="5"/>
  <c r="E28" i="5"/>
  <c r="G4" i="6"/>
  <c r="E4" i="6"/>
  <c r="G6" i="7"/>
  <c r="E6" i="7"/>
  <c r="G11" i="11"/>
  <c r="C16" i="11"/>
  <c r="E11" i="11"/>
  <c r="G18" i="12"/>
  <c r="E18" i="12"/>
  <c r="G8" i="13"/>
  <c r="E8" i="13"/>
  <c r="H7" i="14"/>
  <c r="I7" i="14" s="1"/>
  <c r="E7" i="14"/>
  <c r="G7" i="14"/>
  <c r="E11" i="110"/>
  <c r="C16" i="110"/>
  <c r="G13" i="15"/>
  <c r="E13" i="15"/>
  <c r="G8" i="105"/>
  <c r="E8" i="105"/>
  <c r="G11" i="101"/>
  <c r="C16" i="101"/>
  <c r="E11" i="101"/>
  <c r="G18" i="103"/>
  <c r="E18" i="103"/>
  <c r="H23" i="102"/>
  <c r="I23" i="102" s="1"/>
  <c r="E23" i="102"/>
  <c r="G23" i="102"/>
  <c r="E29" i="14"/>
  <c r="G29" i="14"/>
  <c r="G27" i="11"/>
  <c r="E27" i="11"/>
  <c r="E29" i="11" s="1"/>
  <c r="G19" i="22"/>
  <c r="G20" i="22" s="1"/>
  <c r="D32" i="2" s="1"/>
  <c r="E19" i="22"/>
  <c r="E20" i="22" s="1"/>
  <c r="G18" i="32"/>
  <c r="J25" i="2" s="1"/>
  <c r="B26" i="96"/>
  <c r="H16" i="96"/>
  <c r="C16" i="80"/>
  <c r="E18" i="74"/>
  <c r="G6" i="54"/>
  <c r="E6" i="54"/>
  <c r="E18" i="89"/>
  <c r="E19" i="65"/>
  <c r="F19" i="65" s="1"/>
  <c r="G19" i="65" s="1"/>
  <c r="G7" i="52"/>
  <c r="E7" i="52"/>
  <c r="E33" i="52"/>
  <c r="E34" i="52" s="1"/>
  <c r="G33" i="52"/>
  <c r="G34" i="52" s="1"/>
  <c r="E79" i="2" s="1"/>
  <c r="I45" i="52"/>
  <c r="I46" i="52" s="1"/>
  <c r="E4" i="49"/>
  <c r="E8" i="49" s="1"/>
  <c r="G4" i="49"/>
  <c r="G19" i="47"/>
  <c r="E19" i="47"/>
  <c r="G20" i="47"/>
  <c r="E20" i="47"/>
  <c r="G9" i="48"/>
  <c r="E9" i="48"/>
  <c r="G40" i="48"/>
  <c r="E40" i="48"/>
  <c r="E11" i="46"/>
  <c r="G11" i="46"/>
  <c r="E34" i="46"/>
  <c r="G22" i="45"/>
  <c r="E22" i="45"/>
  <c r="G4" i="44"/>
  <c r="E4" i="44"/>
  <c r="G37" i="44"/>
  <c r="E37" i="44"/>
  <c r="E39" i="44" s="1"/>
  <c r="G44" i="44"/>
  <c r="E44" i="44"/>
  <c r="G11" i="25"/>
  <c r="C16" i="25"/>
  <c r="E11" i="25"/>
  <c r="G4" i="112"/>
  <c r="E4" i="112"/>
  <c r="E13" i="28"/>
  <c r="G13" i="28"/>
  <c r="G4" i="21"/>
  <c r="E4" i="21"/>
  <c r="H13" i="21"/>
  <c r="I13" i="21" s="1"/>
  <c r="E13" i="21"/>
  <c r="G12" i="22"/>
  <c r="E12" i="22"/>
  <c r="G12" i="23"/>
  <c r="E12" i="23"/>
  <c r="I19" i="59"/>
  <c r="C11" i="60"/>
  <c r="E5" i="60"/>
  <c r="G21" i="4"/>
  <c r="G22" i="4" s="1"/>
  <c r="F24" i="2" s="1"/>
  <c r="E21" i="4"/>
  <c r="E22" i="4" s="1"/>
  <c r="G27" i="5"/>
  <c r="E27" i="5"/>
  <c r="G19" i="6"/>
  <c r="E19" i="6"/>
  <c r="G23" i="7"/>
  <c r="E23" i="7"/>
  <c r="G13" i="12"/>
  <c r="E13" i="12"/>
  <c r="H6" i="14"/>
  <c r="I6" i="14" s="1"/>
  <c r="E6" i="14"/>
  <c r="G6" i="14"/>
  <c r="C23" i="110"/>
  <c r="E22" i="110"/>
  <c r="E23" i="110" s="1"/>
  <c r="G22" i="110"/>
  <c r="G23" i="110" s="1"/>
  <c r="F15" i="2" s="1"/>
  <c r="H8" i="110"/>
  <c r="I8" i="110" s="1"/>
  <c r="E8" i="110"/>
  <c r="G8" i="110"/>
  <c r="H12" i="15"/>
  <c r="I12" i="15" s="1"/>
  <c r="E12" i="15"/>
  <c r="G5" i="104"/>
  <c r="E5" i="104"/>
  <c r="C19" i="102"/>
  <c r="E21" i="103"/>
  <c r="E25" i="102"/>
  <c r="G25" i="102"/>
  <c r="E31" i="14"/>
  <c r="G31" i="14"/>
  <c r="G19" i="21"/>
  <c r="G20" i="21" s="1"/>
  <c r="D33" i="2" s="1"/>
  <c r="E19" i="21"/>
  <c r="E20" i="21" s="1"/>
  <c r="G4" i="55"/>
  <c r="H16" i="80"/>
  <c r="H9" i="77"/>
  <c r="B39" i="22"/>
  <c r="O30" i="109" s="1"/>
  <c r="B40" i="110"/>
  <c r="G5" i="54"/>
  <c r="E5" i="54"/>
  <c r="E18" i="94"/>
  <c r="E18" i="67"/>
  <c r="G7" i="53"/>
  <c r="E7" i="53"/>
  <c r="G16" i="53"/>
  <c r="E16" i="53"/>
  <c r="G45" i="53"/>
  <c r="E45" i="53"/>
  <c r="G54" i="53"/>
  <c r="E54" i="53"/>
  <c r="G47" i="53"/>
  <c r="E47" i="53"/>
  <c r="E24" i="52"/>
  <c r="G24" i="52"/>
  <c r="H36" i="52"/>
  <c r="E36" i="52"/>
  <c r="G36" i="52"/>
  <c r="G65" i="52"/>
  <c r="E65" i="52"/>
  <c r="E32" i="49"/>
  <c r="G32" i="49"/>
  <c r="G16" i="47"/>
  <c r="E16" i="47"/>
  <c r="G12" i="47"/>
  <c r="E12" i="47"/>
  <c r="G19" i="48"/>
  <c r="E19" i="48"/>
  <c r="G14" i="48"/>
  <c r="E14" i="48"/>
  <c r="G6" i="48"/>
  <c r="E6" i="48"/>
  <c r="G38" i="48"/>
  <c r="E38" i="48"/>
  <c r="H4" i="45"/>
  <c r="I4" i="45" s="1"/>
  <c r="E4" i="45"/>
  <c r="G4" i="45"/>
  <c r="G14" i="44"/>
  <c r="E14" i="44"/>
  <c r="G25" i="44"/>
  <c r="E25" i="44"/>
  <c r="G11" i="112"/>
  <c r="E11" i="112"/>
  <c r="H4" i="42"/>
  <c r="E4" i="42"/>
  <c r="G4" i="42"/>
  <c r="G6" i="20"/>
  <c r="E6" i="20"/>
  <c r="G9" i="21"/>
  <c r="E9" i="21"/>
  <c r="G28" i="21"/>
  <c r="E28" i="21"/>
  <c r="G25" i="23"/>
  <c r="E25" i="23"/>
  <c r="G4" i="60"/>
  <c r="E4" i="60"/>
  <c r="G12" i="12"/>
  <c r="E12" i="12"/>
  <c r="C34" i="14"/>
  <c r="E28" i="14"/>
  <c r="G28" i="14"/>
  <c r="H4" i="14"/>
  <c r="C11" i="14"/>
  <c r="E4" i="14"/>
  <c r="G4" i="14"/>
  <c r="H6" i="110"/>
  <c r="I6" i="110" s="1"/>
  <c r="E6" i="110"/>
  <c r="G6" i="110"/>
  <c r="G11" i="15"/>
  <c r="E11" i="15"/>
  <c r="E16" i="15" s="1"/>
  <c r="G4" i="104"/>
  <c r="E4" i="104"/>
  <c r="G6" i="105"/>
  <c r="E6" i="105"/>
  <c r="G6" i="102"/>
  <c r="E6" i="102"/>
  <c r="H26" i="102"/>
  <c r="I26" i="102" s="1"/>
  <c r="E26" i="102"/>
  <c r="G26" i="102"/>
  <c r="E30" i="14"/>
  <c r="G30" i="14"/>
  <c r="G21" i="5"/>
  <c r="G22" i="5" s="1"/>
  <c r="D23" i="2" s="1"/>
  <c r="E21" i="5"/>
  <c r="E22" i="5" s="1"/>
  <c r="G16" i="20"/>
  <c r="G17" i="20" s="1"/>
  <c r="D34" i="2" s="1"/>
  <c r="E16" i="20"/>
  <c r="E17" i="20" s="1"/>
  <c r="C16" i="81"/>
  <c r="C9" i="81"/>
  <c r="C25" i="81" s="1"/>
  <c r="M66" i="109" s="1"/>
  <c r="C26" i="95"/>
  <c r="B25" i="94"/>
  <c r="B70" i="123"/>
  <c r="L70" i="123" s="1"/>
  <c r="C9" i="66"/>
  <c r="H9" i="80"/>
  <c r="C9" i="77"/>
  <c r="B48" i="123" s="1"/>
  <c r="L48" i="123" s="1"/>
  <c r="H16" i="72"/>
  <c r="G19" i="78"/>
  <c r="E19" i="78"/>
  <c r="E20" i="78" s="1"/>
  <c r="E26" i="78" s="1"/>
  <c r="E18" i="76"/>
  <c r="H12" i="54"/>
  <c r="I12" i="54" s="1"/>
  <c r="E12" i="54"/>
  <c r="G12" i="54"/>
  <c r="G32" i="54"/>
  <c r="E32" i="54"/>
  <c r="E33" i="54" s="1"/>
  <c r="E18" i="95"/>
  <c r="G19" i="89"/>
  <c r="E19" i="89"/>
  <c r="F19" i="89" s="1"/>
  <c r="G6" i="53"/>
  <c r="E6" i="53"/>
  <c r="G14" i="53"/>
  <c r="E14" i="53"/>
  <c r="G32" i="53"/>
  <c r="G33" i="53" s="1"/>
  <c r="E80" i="2" s="1"/>
  <c r="E78" i="109" s="1"/>
  <c r="E32" i="53"/>
  <c r="E33" i="53" s="1"/>
  <c r="H46" i="53"/>
  <c r="I46" i="53" s="1"/>
  <c r="G52" i="52"/>
  <c r="E52" i="52"/>
  <c r="E45" i="52"/>
  <c r="E46" i="52" s="1"/>
  <c r="G45" i="52"/>
  <c r="G46" i="52" s="1"/>
  <c r="G58" i="52"/>
  <c r="E58" i="52"/>
  <c r="G11" i="47"/>
  <c r="E11" i="47"/>
  <c r="G13" i="48"/>
  <c r="E13" i="48"/>
  <c r="H20" i="46"/>
  <c r="E20" i="46"/>
  <c r="G20" i="46"/>
  <c r="H9" i="45"/>
  <c r="I9" i="45" s="1"/>
  <c r="E9" i="45"/>
  <c r="E18" i="45" s="1"/>
  <c r="G9" i="45"/>
  <c r="G6" i="45"/>
  <c r="E6" i="45"/>
  <c r="G9" i="44"/>
  <c r="E9" i="44"/>
  <c r="G13" i="44"/>
  <c r="E13" i="44"/>
  <c r="G42" i="44"/>
  <c r="E42" i="44"/>
  <c r="G18" i="25"/>
  <c r="E18" i="25"/>
  <c r="E28" i="25" s="1"/>
  <c r="G21" i="112"/>
  <c r="E21" i="112"/>
  <c r="G34" i="30"/>
  <c r="E34" i="30"/>
  <c r="G5" i="20"/>
  <c r="E5" i="20"/>
  <c r="E9" i="20" s="1"/>
  <c r="G7" i="21"/>
  <c r="E7" i="21"/>
  <c r="G27" i="23"/>
  <c r="E27" i="23"/>
  <c r="H19" i="24"/>
  <c r="I19" i="62"/>
  <c r="G26" i="61"/>
  <c r="E26" i="61"/>
  <c r="G4" i="61"/>
  <c r="E4" i="61"/>
  <c r="G26" i="60"/>
  <c r="E26" i="60"/>
  <c r="G13" i="60"/>
  <c r="C17" i="60"/>
  <c r="E13" i="60"/>
  <c r="E17" i="60" s="1"/>
  <c r="G5" i="5"/>
  <c r="E5" i="5"/>
  <c r="G13" i="7"/>
  <c r="E13" i="7"/>
  <c r="G11" i="12"/>
  <c r="E11" i="12"/>
  <c r="E16" i="12" s="1"/>
  <c r="G6" i="13"/>
  <c r="E6" i="13"/>
  <c r="G15" i="14"/>
  <c r="E15" i="14"/>
  <c r="C20" i="110"/>
  <c r="E19" i="110"/>
  <c r="I26" i="15"/>
  <c r="G8" i="15"/>
  <c r="E8" i="15"/>
  <c r="G33" i="104"/>
  <c r="E33" i="104"/>
  <c r="E8" i="17"/>
  <c r="G8" i="17"/>
  <c r="H15" i="63"/>
  <c r="C15" i="63"/>
  <c r="G30" i="104"/>
  <c r="E30" i="104"/>
  <c r="E34" i="104" s="1"/>
  <c r="E19" i="13"/>
  <c r="G19" i="13"/>
  <c r="G20" i="13" s="1"/>
  <c r="D16" i="2" s="1"/>
  <c r="E18" i="42"/>
  <c r="E19" i="42" s="1"/>
  <c r="G18" i="42"/>
  <c r="G19" i="42" s="1"/>
  <c r="D35" i="2" s="1"/>
  <c r="H9" i="81"/>
  <c r="B71" i="2"/>
  <c r="B71" i="123"/>
  <c r="L71" i="123" s="1"/>
  <c r="J34" i="51"/>
  <c r="H16" i="79"/>
  <c r="C9" i="72"/>
  <c r="C21" i="72" s="1"/>
  <c r="M50" i="109" s="1"/>
  <c r="E18" i="72"/>
  <c r="G4" i="54"/>
  <c r="E4" i="54"/>
  <c r="G21" i="54"/>
  <c r="E21" i="54"/>
  <c r="E22" i="54" s="1"/>
  <c r="H36" i="54"/>
  <c r="I36" i="54" s="1"/>
  <c r="E36" i="54"/>
  <c r="G36" i="54"/>
  <c r="E22" i="81"/>
  <c r="E18" i="90"/>
  <c r="F18" i="85"/>
  <c r="F20" i="85" s="1"/>
  <c r="F27" i="85" s="1"/>
  <c r="E20" i="85"/>
  <c r="E27" i="85" s="1"/>
  <c r="E18" i="68"/>
  <c r="G52" i="53"/>
  <c r="E52" i="53"/>
  <c r="H48" i="52"/>
  <c r="E48" i="52"/>
  <c r="E49" i="52" s="1"/>
  <c r="G48" i="52"/>
  <c r="G49" i="52" s="1"/>
  <c r="H79" i="2" s="1"/>
  <c r="G70" i="52"/>
  <c r="E70" i="52"/>
  <c r="G62" i="52"/>
  <c r="E62" i="52"/>
  <c r="G28" i="47"/>
  <c r="E28" i="47"/>
  <c r="E31" i="47" s="1"/>
  <c r="G15" i="47"/>
  <c r="E15" i="47"/>
  <c r="G7" i="47"/>
  <c r="E7" i="47"/>
  <c r="G25" i="48"/>
  <c r="G26" i="48" s="1"/>
  <c r="E77" i="2" s="1"/>
  <c r="E25" i="48"/>
  <c r="E26" i="48" s="1"/>
  <c r="G12" i="48"/>
  <c r="E12" i="48"/>
  <c r="G28" i="48"/>
  <c r="E28" i="48"/>
  <c r="G30" i="48"/>
  <c r="E30" i="48"/>
  <c r="H20" i="45"/>
  <c r="I20" i="45" s="1"/>
  <c r="E20" i="45"/>
  <c r="G20" i="45"/>
  <c r="G6" i="44"/>
  <c r="E6" i="44"/>
  <c r="G49" i="44"/>
  <c r="E49" i="44"/>
  <c r="G4" i="25"/>
  <c r="E4" i="25"/>
  <c r="G18" i="26"/>
  <c r="E18" i="26"/>
  <c r="G6" i="112"/>
  <c r="E6" i="112"/>
  <c r="G20" i="112"/>
  <c r="E20" i="112"/>
  <c r="G41" i="30"/>
  <c r="E41" i="30"/>
  <c r="E21" i="42"/>
  <c r="G21" i="42"/>
  <c r="G20" i="20"/>
  <c r="E20" i="20"/>
  <c r="E26" i="20" s="1"/>
  <c r="G6" i="21"/>
  <c r="E6" i="21"/>
  <c r="G9" i="22"/>
  <c r="E9" i="22"/>
  <c r="H13" i="22"/>
  <c r="I13" i="22" s="1"/>
  <c r="E13" i="22"/>
  <c r="H13" i="23"/>
  <c r="I13" i="23" s="1"/>
  <c r="E13" i="23"/>
  <c r="H17" i="59"/>
  <c r="H31" i="59"/>
  <c r="H39" i="62"/>
  <c r="G14" i="61"/>
  <c r="C19" i="61"/>
  <c r="E14" i="61"/>
  <c r="G31" i="60"/>
  <c r="E31" i="60"/>
  <c r="G10" i="60"/>
  <c r="E10" i="60"/>
  <c r="G30" i="4"/>
  <c r="E30" i="4"/>
  <c r="G11" i="6"/>
  <c r="E11" i="6"/>
  <c r="E16" i="6" s="1"/>
  <c r="G4" i="11"/>
  <c r="E4" i="11"/>
  <c r="G8" i="12"/>
  <c r="E8" i="12"/>
  <c r="H5" i="13"/>
  <c r="I5" i="13" s="1"/>
  <c r="E5" i="13"/>
  <c r="E10" i="13" s="1"/>
  <c r="G5" i="13"/>
  <c r="E19" i="14"/>
  <c r="G24" i="111"/>
  <c r="C37" i="111"/>
  <c r="E24" i="111"/>
  <c r="G4" i="111"/>
  <c r="E4" i="111"/>
  <c r="E5" i="110"/>
  <c r="G5" i="110"/>
  <c r="G6" i="15"/>
  <c r="E6" i="15"/>
  <c r="G13" i="104"/>
  <c r="E13" i="104"/>
  <c r="G13" i="105"/>
  <c r="E13" i="105"/>
  <c r="E28" i="102"/>
  <c r="G28" i="102"/>
  <c r="H26" i="103"/>
  <c r="I26" i="103" s="1"/>
  <c r="I27" i="103" s="1"/>
  <c r="C22" i="18"/>
  <c r="G30" i="15"/>
  <c r="G37" i="15" s="1"/>
  <c r="E30" i="15"/>
  <c r="E37" i="15" s="1"/>
  <c r="C46" i="13"/>
  <c r="E23" i="13"/>
  <c r="E46" i="13" s="1"/>
  <c r="E48" i="13" s="1"/>
  <c r="G23" i="13"/>
  <c r="G46" i="13" s="1"/>
  <c r="I16" i="2" s="1"/>
  <c r="G18" i="4"/>
  <c r="G19" i="4" s="1"/>
  <c r="D24" i="2" s="1"/>
  <c r="E18" i="4"/>
  <c r="E19" i="4" s="1"/>
  <c r="G27" i="30"/>
  <c r="G28" i="30" s="1"/>
  <c r="D36" i="2" s="1"/>
  <c r="E27" i="30"/>
  <c r="E28" i="30" s="1"/>
  <c r="G3" i="92"/>
  <c r="G8" i="92" s="1"/>
  <c r="G32" i="92" s="1"/>
  <c r="H21" i="94"/>
  <c r="I40" i="51"/>
  <c r="I72" i="51" s="1"/>
  <c r="C24" i="76"/>
  <c r="H16" i="74"/>
  <c r="B50" i="109"/>
  <c r="B52" i="123"/>
  <c r="L52" i="123" s="1"/>
  <c r="G18" i="77"/>
  <c r="G19" i="77" s="1"/>
  <c r="E18" i="77"/>
  <c r="E19" i="77" s="1"/>
  <c r="E27" i="77" s="1"/>
  <c r="G18" i="66"/>
  <c r="G19" i="66" s="1"/>
  <c r="E18" i="66"/>
  <c r="E19" i="66" s="1"/>
  <c r="E26" i="66" s="1"/>
  <c r="E24" i="54"/>
  <c r="E29" i="54" s="1"/>
  <c r="G24" i="54"/>
  <c r="H22" i="81"/>
  <c r="E18" i="69"/>
  <c r="G5" i="53"/>
  <c r="G8" i="53" s="1"/>
  <c r="E5" i="53"/>
  <c r="G22" i="53"/>
  <c r="E22" i="53"/>
  <c r="G35" i="53"/>
  <c r="E35" i="53"/>
  <c r="E41" i="53" s="1"/>
  <c r="G58" i="53"/>
  <c r="E58" i="53"/>
  <c r="H4" i="52"/>
  <c r="K4" i="52" s="1"/>
  <c r="E4" i="52"/>
  <c r="E9" i="52" s="1"/>
  <c r="G4" i="52"/>
  <c r="G20" i="52"/>
  <c r="E20" i="52"/>
  <c r="G41" i="52"/>
  <c r="E41" i="52"/>
  <c r="G69" i="52"/>
  <c r="E69" i="52"/>
  <c r="G61" i="52"/>
  <c r="E61" i="52"/>
  <c r="G57" i="52"/>
  <c r="E57" i="52"/>
  <c r="E18" i="49"/>
  <c r="E22" i="49" s="1"/>
  <c r="G18" i="49"/>
  <c r="E16" i="49"/>
  <c r="G24" i="47"/>
  <c r="G26" i="47" s="1"/>
  <c r="C76" i="2" s="1"/>
  <c r="C74" i="109" s="1"/>
  <c r="E24" i="47"/>
  <c r="G14" i="47"/>
  <c r="E14" i="47"/>
  <c r="G6" i="47"/>
  <c r="E6" i="47"/>
  <c r="G22" i="48"/>
  <c r="E22" i="48"/>
  <c r="G5" i="46"/>
  <c r="E5" i="46"/>
  <c r="G23" i="46"/>
  <c r="E23" i="46"/>
  <c r="H37" i="45"/>
  <c r="I37" i="45" s="1"/>
  <c r="E37" i="45"/>
  <c r="G37" i="45"/>
  <c r="G40" i="45"/>
  <c r="E40" i="45"/>
  <c r="G11" i="44"/>
  <c r="E11" i="44"/>
  <c r="G48" i="44"/>
  <c r="E48" i="44"/>
  <c r="H5" i="112"/>
  <c r="I5" i="112" s="1"/>
  <c r="E5" i="112"/>
  <c r="E9" i="112" s="1"/>
  <c r="G4" i="27"/>
  <c r="E4" i="27"/>
  <c r="G4" i="23"/>
  <c r="E4" i="23"/>
  <c r="G32" i="61"/>
  <c r="E32" i="61"/>
  <c r="E23" i="61"/>
  <c r="G25" i="60"/>
  <c r="E25" i="60"/>
  <c r="E32" i="60" s="1"/>
  <c r="G29" i="4"/>
  <c r="E29" i="4"/>
  <c r="G8" i="6"/>
  <c r="E8" i="6"/>
  <c r="G11" i="7"/>
  <c r="E11" i="7"/>
  <c r="E16" i="7" s="1"/>
  <c r="H6" i="12"/>
  <c r="I6" i="12" s="1"/>
  <c r="E6" i="12"/>
  <c r="H4" i="110"/>
  <c r="I4" i="110" s="1"/>
  <c r="I9" i="110" s="1"/>
  <c r="E4" i="110"/>
  <c r="G4" i="110"/>
  <c r="G9" i="110" s="1"/>
  <c r="B15" i="2" s="1"/>
  <c r="G5" i="15"/>
  <c r="E5" i="15"/>
  <c r="G12" i="104"/>
  <c r="E12" i="104"/>
  <c r="G4" i="105"/>
  <c r="E4" i="105"/>
  <c r="E4" i="102"/>
  <c r="E9" i="102" s="1"/>
  <c r="G4" i="102"/>
  <c r="G4" i="101"/>
  <c r="E4" i="101"/>
  <c r="G25" i="101"/>
  <c r="E25" i="101"/>
  <c r="E29" i="101" s="1"/>
  <c r="H26" i="110"/>
  <c r="I26" i="110" s="1"/>
  <c r="E26" i="110"/>
  <c r="E38" i="110" s="1"/>
  <c r="G26" i="110"/>
  <c r="G38" i="110" s="1"/>
  <c r="I15" i="2" s="1"/>
  <c r="H16" i="98"/>
  <c r="H9" i="98"/>
  <c r="B66" i="109"/>
  <c r="B68" i="123"/>
  <c r="L68" i="123" s="1"/>
  <c r="H16" i="95"/>
  <c r="H16" i="76"/>
  <c r="H9" i="79"/>
  <c r="B34" i="61"/>
  <c r="B36" i="61" s="1"/>
  <c r="O25" i="109" s="1"/>
  <c r="P25" i="109" s="1"/>
  <c r="B41" i="62"/>
  <c r="O26" i="109" s="1"/>
  <c r="G9" i="54"/>
  <c r="E9" i="54"/>
  <c r="E10" i="54" s="1"/>
  <c r="H35" i="54"/>
  <c r="I35" i="54" s="1"/>
  <c r="E35" i="54"/>
  <c r="G35" i="54"/>
  <c r="F18" i="98"/>
  <c r="F20" i="98" s="1"/>
  <c r="F28" i="98" s="1"/>
  <c r="E20" i="98"/>
  <c r="E28" i="98" s="1"/>
  <c r="E18" i="82"/>
  <c r="E20" i="86"/>
  <c r="E27" i="86" s="1"/>
  <c r="F18" i="86"/>
  <c r="G19" i="53"/>
  <c r="E19" i="53"/>
  <c r="G26" i="53"/>
  <c r="E26" i="53"/>
  <c r="G40" i="53"/>
  <c r="E40" i="53"/>
  <c r="G49" i="53"/>
  <c r="E49" i="53"/>
  <c r="G8" i="52"/>
  <c r="E8" i="52"/>
  <c r="G27" i="52"/>
  <c r="E27" i="52"/>
  <c r="G39" i="52"/>
  <c r="E39" i="52"/>
  <c r="E43" i="52" s="1"/>
  <c r="G53" i="52"/>
  <c r="E53" i="52"/>
  <c r="G56" i="52"/>
  <c r="E56" i="52"/>
  <c r="E30" i="49"/>
  <c r="G23" i="47"/>
  <c r="E23" i="47"/>
  <c r="G21" i="48"/>
  <c r="E21" i="48"/>
  <c r="G11" i="48"/>
  <c r="E11" i="48"/>
  <c r="G33" i="48"/>
  <c r="G34" i="48" s="1"/>
  <c r="H77" i="2" s="1"/>
  <c r="H75" i="109" s="1"/>
  <c r="E33" i="48"/>
  <c r="E34" i="48" s="1"/>
  <c r="G29" i="48"/>
  <c r="E29" i="48"/>
  <c r="G17" i="46"/>
  <c r="E17" i="46"/>
  <c r="E29" i="45"/>
  <c r="E30" i="45" s="1"/>
  <c r="G29" i="45"/>
  <c r="G30" i="45" s="1"/>
  <c r="E74" i="2" s="1"/>
  <c r="E72" i="109" s="1"/>
  <c r="G18" i="44"/>
  <c r="E18" i="44"/>
  <c r="G22" i="44"/>
  <c r="E22" i="44"/>
  <c r="E27" i="44" s="1"/>
  <c r="G4" i="26"/>
  <c r="E4" i="26"/>
  <c r="E36" i="112"/>
  <c r="G10" i="28"/>
  <c r="G15" i="28" s="1"/>
  <c r="C15" i="28"/>
  <c r="E10" i="28"/>
  <c r="G11" i="27"/>
  <c r="C16" i="27"/>
  <c r="E11" i="27"/>
  <c r="G4" i="30"/>
  <c r="E4" i="30"/>
  <c r="G39" i="30"/>
  <c r="E39" i="30"/>
  <c r="E11" i="42"/>
  <c r="G11" i="42"/>
  <c r="E25" i="42"/>
  <c r="G11" i="20"/>
  <c r="G14" i="20" s="1"/>
  <c r="C34" i="2" s="1"/>
  <c r="E11" i="20"/>
  <c r="E14" i="20" s="1"/>
  <c r="G12" i="21"/>
  <c r="C17" i="21"/>
  <c r="E12" i="21"/>
  <c r="E17" i="21" s="1"/>
  <c r="G7" i="22"/>
  <c r="E7" i="22"/>
  <c r="E10" i="22" s="1"/>
  <c r="G7" i="23"/>
  <c r="E7" i="23"/>
  <c r="G22" i="23"/>
  <c r="G23" i="23" s="1"/>
  <c r="F31" i="2" s="1"/>
  <c r="E22" i="23"/>
  <c r="E23" i="23" s="1"/>
  <c r="G31" i="61"/>
  <c r="E31" i="61"/>
  <c r="G25" i="61"/>
  <c r="E25" i="61"/>
  <c r="G8" i="60"/>
  <c r="E8" i="60"/>
  <c r="E11" i="60" s="1"/>
  <c r="G28" i="4"/>
  <c r="E28" i="4"/>
  <c r="G13" i="5"/>
  <c r="C19" i="5"/>
  <c r="E13" i="5"/>
  <c r="G21" i="6"/>
  <c r="E21" i="6"/>
  <c r="G8" i="7"/>
  <c r="E8" i="7"/>
  <c r="G5" i="12"/>
  <c r="E5" i="12"/>
  <c r="H12" i="13"/>
  <c r="I12" i="13" s="1"/>
  <c r="E12" i="13"/>
  <c r="G12" i="13"/>
  <c r="G4" i="15"/>
  <c r="E4" i="15"/>
  <c r="G11" i="104"/>
  <c r="E11" i="104"/>
  <c r="E16" i="104" s="1"/>
  <c r="G10" i="18"/>
  <c r="B4" i="2" s="1"/>
  <c r="C4" i="117" s="1"/>
  <c r="D4" i="117" s="1"/>
  <c r="G4" i="7"/>
  <c r="E4" i="7"/>
  <c r="G29" i="60"/>
  <c r="E29" i="60"/>
  <c r="E21" i="102"/>
  <c r="E30" i="102" s="1"/>
  <c r="G21" i="102"/>
  <c r="G25" i="111"/>
  <c r="E25" i="111"/>
  <c r="G19" i="12"/>
  <c r="E19" i="12"/>
  <c r="E23" i="12" s="1"/>
  <c r="G19" i="23"/>
  <c r="G20" i="23" s="1"/>
  <c r="D31" i="2" s="1"/>
  <c r="E19" i="23"/>
  <c r="E20" i="23" s="1"/>
  <c r="G15" i="30"/>
  <c r="C25" i="30"/>
  <c r="E15" i="30"/>
  <c r="H9" i="74"/>
  <c r="H4" i="78"/>
  <c r="H9" i="78" s="1"/>
  <c r="C20" i="80"/>
  <c r="E36" i="42"/>
  <c r="G36" i="42"/>
  <c r="E18" i="73"/>
  <c r="G19" i="79"/>
  <c r="E19" i="79"/>
  <c r="E20" i="79" s="1"/>
  <c r="E27" i="79" s="1"/>
  <c r="G27" i="54"/>
  <c r="E27" i="54"/>
  <c r="E18" i="96"/>
  <c r="E19" i="86"/>
  <c r="F19" i="86" s="1"/>
  <c r="G19" i="86" s="1"/>
  <c r="E18" i="70"/>
  <c r="G18" i="53"/>
  <c r="E18" i="53"/>
  <c r="G25" i="53"/>
  <c r="E25" i="53"/>
  <c r="G56" i="53"/>
  <c r="E56" i="53"/>
  <c r="G19" i="52"/>
  <c r="E19" i="52"/>
  <c r="G74" i="52"/>
  <c r="E74" i="52"/>
  <c r="H67" i="52"/>
  <c r="I67" i="52" s="1"/>
  <c r="G60" i="52"/>
  <c r="E60" i="52"/>
  <c r="G55" i="52"/>
  <c r="E55" i="52"/>
  <c r="E24" i="49"/>
  <c r="E25" i="49" s="1"/>
  <c r="G24" i="49"/>
  <c r="G25" i="49" s="1"/>
  <c r="E78" i="2" s="1"/>
  <c r="E76" i="109" s="1"/>
  <c r="G4" i="47"/>
  <c r="E4" i="47"/>
  <c r="G22" i="47"/>
  <c r="E22" i="47"/>
  <c r="H13" i="47"/>
  <c r="I13" i="47" s="1"/>
  <c r="G4" i="48"/>
  <c r="G7" i="48" s="1"/>
  <c r="E4" i="48"/>
  <c r="E7" i="48" s="1"/>
  <c r="H36" i="48"/>
  <c r="I36" i="48" s="1"/>
  <c r="H4" i="46"/>
  <c r="E4" i="46"/>
  <c r="E9" i="46" s="1"/>
  <c r="G4" i="46"/>
  <c r="H33" i="46"/>
  <c r="I33" i="46" s="1"/>
  <c r="G24" i="45"/>
  <c r="E24" i="45"/>
  <c r="H32" i="45"/>
  <c r="I32" i="45" s="1"/>
  <c r="E32" i="45"/>
  <c r="G32" i="45"/>
  <c r="G34" i="45"/>
  <c r="E34" i="45"/>
  <c r="G17" i="44"/>
  <c r="E17" i="44"/>
  <c r="H21" i="44"/>
  <c r="I21" i="44" s="1"/>
  <c r="G30" i="44"/>
  <c r="G31" i="44" s="1"/>
  <c r="E73" i="2" s="1"/>
  <c r="E30" i="44"/>
  <c r="E31" i="44" s="1"/>
  <c r="G46" i="44"/>
  <c r="E46" i="44"/>
  <c r="G11" i="26"/>
  <c r="C16" i="26"/>
  <c r="E11" i="26"/>
  <c r="G21" i="26"/>
  <c r="E21" i="26"/>
  <c r="G13" i="112"/>
  <c r="E13" i="112"/>
  <c r="G18" i="28"/>
  <c r="E18" i="28"/>
  <c r="G18" i="27"/>
  <c r="E18" i="27"/>
  <c r="E23" i="27" s="1"/>
  <c r="G37" i="30"/>
  <c r="E37" i="30"/>
  <c r="H31" i="42"/>
  <c r="E31" i="42"/>
  <c r="G31" i="42"/>
  <c r="G41" i="42" s="1"/>
  <c r="I35" i="2" s="1"/>
  <c r="E34" i="42"/>
  <c r="G34" i="42"/>
  <c r="G27" i="21"/>
  <c r="E27" i="21"/>
  <c r="E37" i="21" s="1"/>
  <c r="G26" i="23"/>
  <c r="E26" i="23"/>
  <c r="G29" i="61"/>
  <c r="E29" i="61"/>
  <c r="G30" i="60"/>
  <c r="E30" i="60"/>
  <c r="G20" i="60"/>
  <c r="E20" i="60"/>
  <c r="E22" i="60" s="1"/>
  <c r="E31" i="4"/>
  <c r="G29" i="5"/>
  <c r="E29" i="5"/>
  <c r="G20" i="6"/>
  <c r="E20" i="6"/>
  <c r="G25" i="7"/>
  <c r="E25" i="7"/>
  <c r="H6" i="7"/>
  <c r="I6" i="7" s="1"/>
  <c r="H11" i="11"/>
  <c r="I11" i="11" s="1"/>
  <c r="G4" i="12"/>
  <c r="E4" i="12"/>
  <c r="E9" i="12" s="1"/>
  <c r="E25" i="12" s="1"/>
  <c r="H8" i="13"/>
  <c r="I8" i="13" s="1"/>
  <c r="E25" i="14"/>
  <c r="E26" i="14" s="1"/>
  <c r="G25" i="14"/>
  <c r="G26" i="14" s="1"/>
  <c r="F13" i="2" s="1"/>
  <c r="E9" i="14"/>
  <c r="G9" i="14"/>
  <c r="G11" i="111"/>
  <c r="E11" i="111"/>
  <c r="G8" i="104"/>
  <c r="E8" i="104"/>
  <c r="G11" i="105"/>
  <c r="E11" i="105"/>
  <c r="E16" i="105" s="1"/>
  <c r="H11" i="102"/>
  <c r="I11" i="102" s="1"/>
  <c r="E11" i="102"/>
  <c r="E16" i="102" s="1"/>
  <c r="E32" i="102" s="1"/>
  <c r="G11" i="102"/>
  <c r="C30" i="102"/>
  <c r="E22" i="102"/>
  <c r="G22" i="102"/>
  <c r="C23" i="14"/>
  <c r="E22" i="14"/>
  <c r="E23" i="14" s="1"/>
  <c r="G22" i="14"/>
  <c r="G23" i="14" s="1"/>
  <c r="D13" i="2" s="1"/>
  <c r="H27" i="11"/>
  <c r="I27" i="11" s="1"/>
  <c r="I29" i="11" s="1"/>
  <c r="C20" i="22"/>
  <c r="G44" i="53"/>
  <c r="E44" i="53"/>
  <c r="E60" i="53" s="1"/>
  <c r="B27" i="38"/>
  <c r="I19" i="9"/>
  <c r="I20" i="9" s="1"/>
  <c r="H20" i="9"/>
  <c r="B30" i="9"/>
  <c r="G8" i="42"/>
  <c r="E8" i="42"/>
  <c r="E9" i="42"/>
  <c r="G12" i="42"/>
  <c r="E12" i="42"/>
  <c r="E16" i="42" s="1"/>
  <c r="G37" i="3"/>
  <c r="E37" i="3"/>
  <c r="G33" i="3"/>
  <c r="E33" i="3"/>
  <c r="G31" i="3"/>
  <c r="E31" i="3"/>
  <c r="G14" i="3"/>
  <c r="C19" i="3"/>
  <c r="E14" i="3"/>
  <c r="H14" i="3"/>
  <c r="I14" i="3" s="1"/>
  <c r="G30" i="3"/>
  <c r="E30" i="3"/>
  <c r="G35" i="3"/>
  <c r="E35" i="3"/>
  <c r="G32" i="3"/>
  <c r="E32" i="3"/>
  <c r="G26" i="3"/>
  <c r="E26" i="3"/>
  <c r="G5" i="3"/>
  <c r="E5" i="3"/>
  <c r="G22" i="3"/>
  <c r="G23" i="3" s="1"/>
  <c r="D25" i="2" s="1"/>
  <c r="E22" i="3"/>
  <c r="E23" i="3" s="1"/>
  <c r="B40" i="3"/>
  <c r="H33" i="3"/>
  <c r="I33" i="3" s="1"/>
  <c r="H31" i="3"/>
  <c r="I31" i="3" s="1"/>
  <c r="E27" i="3"/>
  <c r="G29" i="3"/>
  <c r="E29" i="3"/>
  <c r="E38" i="3" s="1"/>
  <c r="G13" i="29"/>
  <c r="E13" i="29"/>
  <c r="E12" i="29"/>
  <c r="G12" i="29"/>
  <c r="H25" i="29"/>
  <c r="E25" i="29"/>
  <c r="E36" i="29" s="1"/>
  <c r="G25" i="29"/>
  <c r="H19" i="29"/>
  <c r="I19" i="29" s="1"/>
  <c r="E19" i="29"/>
  <c r="E20" i="29" s="1"/>
  <c r="G19" i="29"/>
  <c r="G20" i="29" s="1"/>
  <c r="D37" i="2" s="1"/>
  <c r="E4" i="29"/>
  <c r="E10" i="29" s="1"/>
  <c r="G4" i="29"/>
  <c r="G8" i="25"/>
  <c r="E8" i="25"/>
  <c r="G6" i="25"/>
  <c r="E6" i="25"/>
  <c r="G5" i="25"/>
  <c r="E5" i="25"/>
  <c r="G13" i="25"/>
  <c r="E13" i="25"/>
  <c r="G6" i="26"/>
  <c r="G9" i="26" s="1"/>
  <c r="B41" i="2" s="1"/>
  <c r="E6" i="26"/>
  <c r="G13" i="26"/>
  <c r="E13" i="26"/>
  <c r="H12" i="26"/>
  <c r="I12" i="26" s="1"/>
  <c r="E12" i="26"/>
  <c r="G5" i="26"/>
  <c r="E5" i="26"/>
  <c r="G8" i="26"/>
  <c r="E8" i="26"/>
  <c r="G8" i="27"/>
  <c r="E8" i="27"/>
  <c r="G6" i="27"/>
  <c r="E6" i="27"/>
  <c r="G12" i="27"/>
  <c r="E12" i="27"/>
  <c r="E11" i="28"/>
  <c r="G5" i="28"/>
  <c r="E5" i="28"/>
  <c r="G4" i="28"/>
  <c r="E4" i="28"/>
  <c r="E8" i="28" s="1"/>
  <c r="G12" i="30"/>
  <c r="E12" i="30"/>
  <c r="G8" i="30"/>
  <c r="E8" i="30"/>
  <c r="G19" i="30"/>
  <c r="E19" i="30"/>
  <c r="H7" i="30"/>
  <c r="I7" i="30" s="1"/>
  <c r="I13" i="30" s="1"/>
  <c r="E7" i="30"/>
  <c r="H14" i="62"/>
  <c r="G9" i="61"/>
  <c r="E9" i="61"/>
  <c r="G7" i="61"/>
  <c r="E7" i="61"/>
  <c r="G16" i="61"/>
  <c r="E16" i="61"/>
  <c r="E15" i="61"/>
  <c r="G11" i="61"/>
  <c r="E11" i="61"/>
  <c r="G5" i="61"/>
  <c r="E5" i="61"/>
  <c r="E12" i="61" s="1"/>
  <c r="G10" i="5"/>
  <c r="E10" i="5"/>
  <c r="G14" i="5"/>
  <c r="E14" i="5"/>
  <c r="G15" i="5"/>
  <c r="E15" i="5"/>
  <c r="G7" i="5"/>
  <c r="E7" i="5"/>
  <c r="G6" i="5"/>
  <c r="E6" i="5"/>
  <c r="E12" i="11"/>
  <c r="G5" i="11"/>
  <c r="E5" i="11"/>
  <c r="E9" i="11" s="1"/>
  <c r="E10" i="103"/>
  <c r="H27" i="17"/>
  <c r="H28" i="17" s="1"/>
  <c r="G8" i="101"/>
  <c r="E8" i="101"/>
  <c r="G13" i="101"/>
  <c r="E13" i="101"/>
  <c r="G6" i="101"/>
  <c r="E6" i="101"/>
  <c r="G12" i="101"/>
  <c r="E12" i="101"/>
  <c r="G5" i="101"/>
  <c r="E5" i="101"/>
  <c r="G11" i="38"/>
  <c r="E11" i="38"/>
  <c r="G23" i="38"/>
  <c r="E23" i="38"/>
  <c r="G14" i="38"/>
  <c r="E14" i="38"/>
  <c r="G8" i="38"/>
  <c r="E8" i="38"/>
  <c r="G13" i="38"/>
  <c r="E13" i="38"/>
  <c r="G6" i="38"/>
  <c r="E6" i="38"/>
  <c r="G22" i="38"/>
  <c r="E22" i="38"/>
  <c r="G25" i="38"/>
  <c r="E25" i="38"/>
  <c r="G4" i="38"/>
  <c r="E4" i="38"/>
  <c r="G18" i="38"/>
  <c r="G19" i="38" s="1"/>
  <c r="D43" i="2" s="1"/>
  <c r="E18" i="38"/>
  <c r="E19" i="38" s="1"/>
  <c r="G5" i="38"/>
  <c r="E5" i="38"/>
  <c r="G24" i="38"/>
  <c r="E24" i="38"/>
  <c r="E9" i="8"/>
  <c r="G9" i="8"/>
  <c r="E8" i="8"/>
  <c r="G8" i="8"/>
  <c r="G11" i="10"/>
  <c r="G12" i="10" s="1"/>
  <c r="H4" i="55"/>
  <c r="H27" i="55" s="1"/>
  <c r="B4" i="55"/>
  <c r="F4" i="55" s="1"/>
  <c r="F27" i="55" s="1"/>
  <c r="B24" i="10"/>
  <c r="E16" i="111"/>
  <c r="G5" i="111"/>
  <c r="E5" i="111"/>
  <c r="E9" i="111" s="1"/>
  <c r="G14" i="9"/>
  <c r="E14" i="9"/>
  <c r="G6" i="9"/>
  <c r="E6" i="9"/>
  <c r="G22" i="9"/>
  <c r="G23" i="9" s="1"/>
  <c r="F19" i="2" s="1"/>
  <c r="E22" i="9"/>
  <c r="E23" i="9" s="1"/>
  <c r="G9" i="9"/>
  <c r="E9" i="9"/>
  <c r="G5" i="9"/>
  <c r="E5" i="9"/>
  <c r="G19" i="9"/>
  <c r="G20" i="9" s="1"/>
  <c r="D19" i="2" s="1"/>
  <c r="E19" i="9"/>
  <c r="E20" i="9" s="1"/>
  <c r="B35" i="9"/>
  <c r="O17" i="109" s="1"/>
  <c r="P17" i="109" s="1"/>
  <c r="G4" i="9"/>
  <c r="E4" i="9"/>
  <c r="G26" i="9"/>
  <c r="E26" i="9"/>
  <c r="G25" i="9"/>
  <c r="E25" i="9"/>
  <c r="G12" i="9"/>
  <c r="E12" i="9"/>
  <c r="H6" i="9"/>
  <c r="I6" i="9" s="1"/>
  <c r="G27" i="9"/>
  <c r="E27" i="9"/>
  <c r="G5" i="17"/>
  <c r="E5" i="17"/>
  <c r="G35" i="17"/>
  <c r="E35" i="17"/>
  <c r="E20" i="17"/>
  <c r="E13" i="17"/>
  <c r="G16" i="17"/>
  <c r="G25" i="17" s="1"/>
  <c r="E16" i="17"/>
  <c r="H18" i="17"/>
  <c r="E18" i="17"/>
  <c r="I27" i="17"/>
  <c r="I28" i="17" s="1"/>
  <c r="H16" i="17"/>
  <c r="I16" i="17" s="1"/>
  <c r="C42" i="17"/>
  <c r="E34" i="17"/>
  <c r="B37" i="8"/>
  <c r="G30" i="8"/>
  <c r="G31" i="8" s="1"/>
  <c r="F20" i="2" s="1"/>
  <c r="E30" i="8"/>
  <c r="E31" i="8" s="1"/>
  <c r="C31" i="8"/>
  <c r="G34" i="8"/>
  <c r="E34" i="8"/>
  <c r="E37" i="8" s="1"/>
  <c r="G43" i="8"/>
  <c r="E43" i="8"/>
  <c r="E11" i="8"/>
  <c r="G22" i="8"/>
  <c r="G23" i="8" s="1"/>
  <c r="D20" i="2" s="1"/>
  <c r="E22" i="8"/>
  <c r="E23" i="8" s="1"/>
  <c r="G45" i="8"/>
  <c r="E45" i="8"/>
  <c r="H30" i="44"/>
  <c r="I28" i="56"/>
  <c r="H13" i="44"/>
  <c r="I13" i="44" s="1"/>
  <c r="H34" i="44"/>
  <c r="I34" i="44" s="1"/>
  <c r="I35" i="44" s="1"/>
  <c r="H15" i="18"/>
  <c r="E15" i="18"/>
  <c r="E22" i="18" s="1"/>
  <c r="H21" i="54"/>
  <c r="I21" i="54" s="1"/>
  <c r="H27" i="54"/>
  <c r="I27" i="54" s="1"/>
  <c r="H18" i="53"/>
  <c r="I18" i="53" s="1"/>
  <c r="H40" i="53"/>
  <c r="I40" i="53" s="1"/>
  <c r="H37" i="53"/>
  <c r="I37" i="53" s="1"/>
  <c r="H56" i="53"/>
  <c r="I56" i="53" s="1"/>
  <c r="H65" i="52"/>
  <c r="I65" i="52" s="1"/>
  <c r="H62" i="52"/>
  <c r="I62" i="52" s="1"/>
  <c r="H55" i="52"/>
  <c r="I55" i="52" s="1"/>
  <c r="H23" i="47"/>
  <c r="I23" i="47" s="1"/>
  <c r="H20" i="47"/>
  <c r="I20" i="47" s="1"/>
  <c r="H22" i="45"/>
  <c r="I22" i="45" s="1"/>
  <c r="H12" i="45"/>
  <c r="I12" i="45" s="1"/>
  <c r="H6" i="45"/>
  <c r="I6" i="45" s="1"/>
  <c r="H11" i="44"/>
  <c r="I11" i="44" s="1"/>
  <c r="H49" i="44"/>
  <c r="I49" i="44" s="1"/>
  <c r="H17" i="44"/>
  <c r="I17" i="44" s="1"/>
  <c r="H44" i="44"/>
  <c r="I44" i="44" s="1"/>
  <c r="L67" i="109"/>
  <c r="C20" i="89"/>
  <c r="L57" i="109"/>
  <c r="H19" i="65"/>
  <c r="I19" i="65" s="1"/>
  <c r="L55" i="109"/>
  <c r="C26" i="69"/>
  <c r="M53" i="109" s="1"/>
  <c r="C52" i="109"/>
  <c r="B26" i="70"/>
  <c r="O52" i="109" s="1"/>
  <c r="H9" i="70"/>
  <c r="H18" i="70"/>
  <c r="H16" i="70"/>
  <c r="L49" i="109"/>
  <c r="H13" i="26"/>
  <c r="I13" i="26" s="1"/>
  <c r="H6" i="112"/>
  <c r="I6" i="112" s="1"/>
  <c r="H13" i="112"/>
  <c r="I13" i="112" s="1"/>
  <c r="C17" i="29"/>
  <c r="H13" i="29"/>
  <c r="I13" i="29" s="1"/>
  <c r="H40" i="30"/>
  <c r="I40" i="30" s="1"/>
  <c r="H5" i="20"/>
  <c r="I5" i="20" s="1"/>
  <c r="C10" i="23"/>
  <c r="H28" i="23"/>
  <c r="I28" i="23" s="1"/>
  <c r="G11" i="3"/>
  <c r="E11" i="3"/>
  <c r="G16" i="3"/>
  <c r="E16" i="3"/>
  <c r="G9" i="3"/>
  <c r="E9" i="3"/>
  <c r="G15" i="3"/>
  <c r="E15" i="3"/>
  <c r="G6" i="3"/>
  <c r="E6" i="3"/>
  <c r="E17" i="3"/>
  <c r="G7" i="3"/>
  <c r="E7" i="3"/>
  <c r="H27" i="61"/>
  <c r="I27" i="61" s="1"/>
  <c r="C34" i="61"/>
  <c r="H29" i="60"/>
  <c r="I29" i="60" s="1"/>
  <c r="P24" i="109"/>
  <c r="C16" i="7"/>
  <c r="H11" i="7"/>
  <c r="I11" i="7" s="1"/>
  <c r="H15" i="8"/>
  <c r="H20" i="8" s="1"/>
  <c r="C20" i="8"/>
  <c r="C10" i="9"/>
  <c r="H82" i="109"/>
  <c r="H6" i="15"/>
  <c r="I6" i="15" s="1"/>
  <c r="P10" i="109"/>
  <c r="H13" i="105"/>
  <c r="I13" i="105" s="1"/>
  <c r="H18" i="103"/>
  <c r="I18" i="103" s="1"/>
  <c r="H13" i="18"/>
  <c r="I13" i="18" s="1"/>
  <c r="D13" i="18"/>
  <c r="B82" i="109"/>
  <c r="H12" i="30"/>
  <c r="I12" i="30" s="1"/>
  <c r="H19" i="30"/>
  <c r="I19" i="30" s="1"/>
  <c r="H4" i="28"/>
  <c r="C8" i="28"/>
  <c r="H5" i="28"/>
  <c r="I5" i="28" s="1"/>
  <c r="C9" i="42"/>
  <c r="C19" i="38"/>
  <c r="H22" i="38"/>
  <c r="I22" i="38" s="1"/>
  <c r="H8" i="38"/>
  <c r="I8" i="38" s="1"/>
  <c r="H25" i="38"/>
  <c r="I25" i="38" s="1"/>
  <c r="H5" i="38"/>
  <c r="I5" i="38" s="1"/>
  <c r="B31" i="38"/>
  <c r="B33" i="38" s="1"/>
  <c r="H11" i="61"/>
  <c r="I11" i="61" s="1"/>
  <c r="H9" i="61"/>
  <c r="I9" i="61" s="1"/>
  <c r="P13" i="109"/>
  <c r="C20" i="21"/>
  <c r="B37" i="21"/>
  <c r="H12" i="21"/>
  <c r="I12" i="21" s="1"/>
  <c r="H27" i="21"/>
  <c r="I27" i="21" s="1"/>
  <c r="H19" i="21"/>
  <c r="H20" i="21" s="1"/>
  <c r="H9" i="21"/>
  <c r="I9" i="21" s="1"/>
  <c r="H4" i="21"/>
  <c r="I4" i="21" s="1"/>
  <c r="L52" i="109"/>
  <c r="P52" i="109" s="1"/>
  <c r="L53" i="109"/>
  <c r="L54" i="109"/>
  <c r="H20" i="65"/>
  <c r="I18" i="65"/>
  <c r="I20" i="65" s="1"/>
  <c r="C20" i="65"/>
  <c r="H18" i="89"/>
  <c r="L66" i="109"/>
  <c r="H18" i="93"/>
  <c r="I18" i="93" s="1"/>
  <c r="G18" i="93"/>
  <c r="H19" i="93"/>
  <c r="I19" i="93" s="1"/>
  <c r="G19" i="93"/>
  <c r="L70" i="109"/>
  <c r="C39" i="44"/>
  <c r="H6" i="44"/>
  <c r="I6" i="44" s="1"/>
  <c r="H18" i="44"/>
  <c r="I18" i="44" s="1"/>
  <c r="H25" i="44"/>
  <c r="I25" i="44" s="1"/>
  <c r="H37" i="44"/>
  <c r="I37" i="44" s="1"/>
  <c r="H45" i="44"/>
  <c r="I45" i="44" s="1"/>
  <c r="H14" i="45"/>
  <c r="I14" i="45" s="1"/>
  <c r="G14" i="45"/>
  <c r="H5" i="45"/>
  <c r="I5" i="45" s="1"/>
  <c r="G5" i="45"/>
  <c r="G7" i="45" s="1"/>
  <c r="H15" i="45"/>
  <c r="I15" i="45" s="1"/>
  <c r="G15" i="45"/>
  <c r="H41" i="45"/>
  <c r="I41" i="45" s="1"/>
  <c r="G41" i="45"/>
  <c r="H34" i="45"/>
  <c r="I34" i="45" s="1"/>
  <c r="H17" i="45"/>
  <c r="I17" i="45" s="1"/>
  <c r="G17" i="45"/>
  <c r="H13" i="45"/>
  <c r="I13" i="45" s="1"/>
  <c r="G13" i="45"/>
  <c r="H10" i="45"/>
  <c r="G10" i="45"/>
  <c r="H43" i="45"/>
  <c r="I43" i="45" s="1"/>
  <c r="G43" i="45"/>
  <c r="H21" i="45"/>
  <c r="G21" i="45"/>
  <c r="H11" i="45"/>
  <c r="I11" i="45" s="1"/>
  <c r="G11" i="45"/>
  <c r="H23" i="45"/>
  <c r="I23" i="45" s="1"/>
  <c r="G23" i="45"/>
  <c r="H16" i="45"/>
  <c r="I16" i="45" s="1"/>
  <c r="G16" i="45"/>
  <c r="H42" i="45"/>
  <c r="I42" i="45" s="1"/>
  <c r="G42" i="45"/>
  <c r="H39" i="45"/>
  <c r="G39" i="45"/>
  <c r="H22" i="46"/>
  <c r="I22" i="46" s="1"/>
  <c r="G22" i="46"/>
  <c r="H32" i="46"/>
  <c r="I32" i="46" s="1"/>
  <c r="I34" i="46" s="1"/>
  <c r="G32" i="46"/>
  <c r="G34" i="46" s="1"/>
  <c r="I75" i="2" s="1"/>
  <c r="H16" i="46"/>
  <c r="I16" i="46" s="1"/>
  <c r="G16" i="46"/>
  <c r="H21" i="46"/>
  <c r="I21" i="46" s="1"/>
  <c r="G21" i="46"/>
  <c r="H6" i="46"/>
  <c r="I6" i="46" s="1"/>
  <c r="G6" i="46"/>
  <c r="H12" i="46"/>
  <c r="I12" i="46" s="1"/>
  <c r="G12" i="46"/>
  <c r="H15" i="46"/>
  <c r="I15" i="46" s="1"/>
  <c r="G15" i="46"/>
  <c r="H24" i="46"/>
  <c r="I24" i="46" s="1"/>
  <c r="G24" i="46"/>
  <c r="C34" i="46"/>
  <c r="J4" i="46"/>
  <c r="H8" i="46"/>
  <c r="I8" i="46" s="1"/>
  <c r="G8" i="46"/>
  <c r="H17" i="46"/>
  <c r="I17" i="46" s="1"/>
  <c r="H13" i="46"/>
  <c r="I13" i="46" s="1"/>
  <c r="G13" i="46"/>
  <c r="H23" i="46"/>
  <c r="I23" i="46" s="1"/>
  <c r="C26" i="47"/>
  <c r="H6" i="47"/>
  <c r="I6" i="47" s="1"/>
  <c r="H10" i="49"/>
  <c r="I10" i="49" s="1"/>
  <c r="G10" i="49"/>
  <c r="H33" i="49"/>
  <c r="I33" i="49" s="1"/>
  <c r="G33" i="49"/>
  <c r="H20" i="49"/>
  <c r="I20" i="49" s="1"/>
  <c r="G20" i="49"/>
  <c r="H13" i="49"/>
  <c r="I13" i="49" s="1"/>
  <c r="G13" i="49"/>
  <c r="H29" i="49"/>
  <c r="I29" i="49" s="1"/>
  <c r="G29" i="49"/>
  <c r="H19" i="49"/>
  <c r="I19" i="49" s="1"/>
  <c r="G19" i="49"/>
  <c r="H12" i="49"/>
  <c r="I12" i="49" s="1"/>
  <c r="G12" i="49"/>
  <c r="H7" i="49"/>
  <c r="I7" i="49" s="1"/>
  <c r="G7" i="49"/>
  <c r="H28" i="49"/>
  <c r="G28" i="49"/>
  <c r="G30" i="49" s="1"/>
  <c r="F78" i="2" s="1"/>
  <c r="H15" i="49"/>
  <c r="I15" i="49" s="1"/>
  <c r="G15" i="49"/>
  <c r="H11" i="49"/>
  <c r="I11" i="49" s="1"/>
  <c r="G11" i="49"/>
  <c r="H5" i="49"/>
  <c r="I5" i="49" s="1"/>
  <c r="I8" i="49" s="1"/>
  <c r="I10" i="55" s="1"/>
  <c r="G5" i="49"/>
  <c r="G8" i="49" s="1"/>
  <c r="H34" i="49"/>
  <c r="I34" i="49" s="1"/>
  <c r="G34" i="49"/>
  <c r="H21" i="49"/>
  <c r="I21" i="49" s="1"/>
  <c r="G21" i="49"/>
  <c r="H14" i="49"/>
  <c r="I14" i="49" s="1"/>
  <c r="G14" i="49"/>
  <c r="H21" i="52"/>
  <c r="I21" i="52" s="1"/>
  <c r="G21" i="52"/>
  <c r="H37" i="52"/>
  <c r="I37" i="52" s="1"/>
  <c r="G37" i="52"/>
  <c r="H72" i="52"/>
  <c r="I72" i="52" s="1"/>
  <c r="G72" i="52"/>
  <c r="H6" i="52"/>
  <c r="I6" i="52" s="1"/>
  <c r="G6" i="52"/>
  <c r="H16" i="52"/>
  <c r="I16" i="52" s="1"/>
  <c r="G16" i="52"/>
  <c r="H66" i="52"/>
  <c r="I66" i="52" s="1"/>
  <c r="G66" i="52"/>
  <c r="H40" i="52"/>
  <c r="I40" i="52" s="1"/>
  <c r="G40" i="52"/>
  <c r="H17" i="52"/>
  <c r="I17" i="52" s="1"/>
  <c r="G17" i="52"/>
  <c r="H5" i="52"/>
  <c r="I5" i="52" s="1"/>
  <c r="G5" i="52"/>
  <c r="H38" i="52"/>
  <c r="I38" i="52" s="1"/>
  <c r="G38" i="52"/>
  <c r="H73" i="52"/>
  <c r="I73" i="52" s="1"/>
  <c r="G73" i="52"/>
  <c r="H68" i="52"/>
  <c r="I68" i="52" s="1"/>
  <c r="G68" i="52"/>
  <c r="H8" i="52"/>
  <c r="I8" i="52" s="1"/>
  <c r="H20" i="52"/>
  <c r="I20" i="52" s="1"/>
  <c r="H18" i="52"/>
  <c r="I18" i="52" s="1"/>
  <c r="G18" i="52"/>
  <c r="H28" i="52"/>
  <c r="I28" i="52" s="1"/>
  <c r="G28" i="52"/>
  <c r="H25" i="52"/>
  <c r="I25" i="52" s="1"/>
  <c r="G25" i="52"/>
  <c r="H42" i="52"/>
  <c r="I42" i="52" s="1"/>
  <c r="G42" i="52"/>
  <c r="H39" i="52"/>
  <c r="I39" i="52" s="1"/>
  <c r="H74" i="52"/>
  <c r="I74" i="52" s="1"/>
  <c r="H71" i="52"/>
  <c r="I71" i="52" s="1"/>
  <c r="G71" i="52"/>
  <c r="H69" i="52"/>
  <c r="I69" i="52" s="1"/>
  <c r="H63" i="52"/>
  <c r="I63" i="52" s="1"/>
  <c r="G63" i="52"/>
  <c r="H61" i="52"/>
  <c r="I61" i="52" s="1"/>
  <c r="H59" i="52"/>
  <c r="I59" i="52" s="1"/>
  <c r="G59" i="52"/>
  <c r="H15" i="53"/>
  <c r="I15" i="53" s="1"/>
  <c r="H19" i="53"/>
  <c r="I19" i="53" s="1"/>
  <c r="H52" i="53"/>
  <c r="I52" i="53" s="1"/>
  <c r="H18" i="54"/>
  <c r="I18" i="54" s="1"/>
  <c r="G18" i="54"/>
  <c r="H14" i="54"/>
  <c r="I14" i="54" s="1"/>
  <c r="G14" i="54"/>
  <c r="H31" i="54"/>
  <c r="I31" i="54" s="1"/>
  <c r="G31" i="54"/>
  <c r="G33" i="54" s="1"/>
  <c r="F81" i="2" s="1"/>
  <c r="H17" i="54"/>
  <c r="I17" i="54" s="1"/>
  <c r="G17" i="54"/>
  <c r="H13" i="54"/>
  <c r="G13" i="54"/>
  <c r="H8" i="54"/>
  <c r="I8" i="54" s="1"/>
  <c r="G8" i="54"/>
  <c r="H20" i="54"/>
  <c r="I20" i="54" s="1"/>
  <c r="G20" i="54"/>
  <c r="H16" i="54"/>
  <c r="I16" i="54" s="1"/>
  <c r="G16" i="54"/>
  <c r="H26" i="54"/>
  <c r="I26" i="54" s="1"/>
  <c r="G26" i="54"/>
  <c r="H32" i="54"/>
  <c r="I32" i="54" s="1"/>
  <c r="G10" i="54"/>
  <c r="H7" i="54"/>
  <c r="I7" i="54" s="1"/>
  <c r="H19" i="54"/>
  <c r="I19" i="54" s="1"/>
  <c r="G19" i="54"/>
  <c r="H15" i="54"/>
  <c r="I15" i="54" s="1"/>
  <c r="G15" i="54"/>
  <c r="H25" i="54"/>
  <c r="G25" i="54"/>
  <c r="H38" i="54"/>
  <c r="I38" i="54" s="1"/>
  <c r="G38" i="54"/>
  <c r="L53" i="2"/>
  <c r="B53" i="116" s="1"/>
  <c r="D53" i="116" s="1"/>
  <c r="L46" i="109"/>
  <c r="L45" i="109"/>
  <c r="L43" i="109"/>
  <c r="L42" i="109"/>
  <c r="L41" i="109"/>
  <c r="H5" i="25"/>
  <c r="I5" i="25" s="1"/>
  <c r="H8" i="27"/>
  <c r="I8" i="27" s="1"/>
  <c r="H12" i="27"/>
  <c r="I12" i="27" s="1"/>
  <c r="H18" i="28"/>
  <c r="I18" i="28" s="1"/>
  <c r="H30" i="29"/>
  <c r="I30" i="29" s="1"/>
  <c r="G30" i="29"/>
  <c r="H5" i="29"/>
  <c r="I5" i="29" s="1"/>
  <c r="G5" i="29"/>
  <c r="H31" i="29"/>
  <c r="I31" i="29" s="1"/>
  <c r="G31" i="29"/>
  <c r="H14" i="29"/>
  <c r="I14" i="29" s="1"/>
  <c r="I17" i="29" s="1"/>
  <c r="G14" i="29"/>
  <c r="H9" i="29"/>
  <c r="I9" i="29" s="1"/>
  <c r="G9" i="29"/>
  <c r="H29" i="29"/>
  <c r="I29" i="29" s="1"/>
  <c r="G29" i="29"/>
  <c r="H6" i="29"/>
  <c r="I6" i="29" s="1"/>
  <c r="G6" i="29"/>
  <c r="H8" i="30"/>
  <c r="I8" i="30" s="1"/>
  <c r="H22" i="42"/>
  <c r="I22" i="42" s="1"/>
  <c r="G22" i="42"/>
  <c r="H5" i="42"/>
  <c r="I5" i="42" s="1"/>
  <c r="G5" i="42"/>
  <c r="H12" i="42"/>
  <c r="I12" i="42" s="1"/>
  <c r="H6" i="42"/>
  <c r="I6" i="42" s="1"/>
  <c r="G6" i="42"/>
  <c r="H13" i="42"/>
  <c r="I13" i="42" s="1"/>
  <c r="G13" i="42"/>
  <c r="G16" i="42" s="1"/>
  <c r="C35" i="2" s="1"/>
  <c r="H8" i="42"/>
  <c r="I8" i="42" s="1"/>
  <c r="H24" i="42"/>
  <c r="I24" i="42" s="1"/>
  <c r="G24" i="42"/>
  <c r="H6" i="20"/>
  <c r="I6" i="20" s="1"/>
  <c r="H6" i="21"/>
  <c r="I6" i="21" s="1"/>
  <c r="H9" i="22"/>
  <c r="I9" i="22" s="1"/>
  <c r="H7" i="23"/>
  <c r="I7" i="23" s="1"/>
  <c r="P26" i="109"/>
  <c r="H31" i="61"/>
  <c r="I31" i="61" s="1"/>
  <c r="C27" i="3"/>
  <c r="H28" i="4"/>
  <c r="I28" i="4" s="1"/>
  <c r="H15" i="5"/>
  <c r="I15" i="5" s="1"/>
  <c r="H10" i="5"/>
  <c r="I10" i="5" s="1"/>
  <c r="H7" i="5"/>
  <c r="I7" i="5" s="1"/>
  <c r="H6" i="5"/>
  <c r="I6" i="5" s="1"/>
  <c r="H20" i="6"/>
  <c r="I20" i="6" s="1"/>
  <c r="H14" i="38"/>
  <c r="I14" i="38" s="1"/>
  <c r="H11" i="38"/>
  <c r="I11" i="38" s="1"/>
  <c r="H14" i="13"/>
  <c r="I14" i="13" s="1"/>
  <c r="G14" i="13"/>
  <c r="H13" i="13"/>
  <c r="I13" i="13" s="1"/>
  <c r="G13" i="13"/>
  <c r="H7" i="13"/>
  <c r="I7" i="13" s="1"/>
  <c r="I10" i="13" s="1"/>
  <c r="G7" i="13"/>
  <c r="G10" i="13" s="1"/>
  <c r="B16" i="2" s="1"/>
  <c r="H15" i="14"/>
  <c r="I15" i="14" s="1"/>
  <c r="H14" i="14"/>
  <c r="G14" i="14"/>
  <c r="H13" i="14"/>
  <c r="I13" i="14" s="1"/>
  <c r="G13" i="14"/>
  <c r="H13" i="110"/>
  <c r="I13" i="110" s="1"/>
  <c r="G13" i="110"/>
  <c r="H12" i="110"/>
  <c r="I12" i="110" s="1"/>
  <c r="G12" i="110"/>
  <c r="H11" i="110"/>
  <c r="G11" i="110"/>
  <c r="H12" i="101"/>
  <c r="I12" i="101" s="1"/>
  <c r="H5" i="15"/>
  <c r="I5" i="15" s="1"/>
  <c r="G6" i="16"/>
  <c r="H6" i="16" s="1"/>
  <c r="H8" i="102"/>
  <c r="I8" i="102" s="1"/>
  <c r="G8" i="102"/>
  <c r="H13" i="102"/>
  <c r="I13" i="102" s="1"/>
  <c r="G13" i="102"/>
  <c r="H12" i="102"/>
  <c r="I12" i="102" s="1"/>
  <c r="G12" i="102"/>
  <c r="H5" i="102"/>
  <c r="G5" i="102"/>
  <c r="C16" i="104"/>
  <c r="G37" i="10"/>
  <c r="I4" i="55" s="1"/>
  <c r="I27" i="55" s="1"/>
  <c r="M26" i="109"/>
  <c r="J12" i="2"/>
  <c r="J84" i="2" s="1"/>
  <c r="C12" i="117" s="1"/>
  <c r="D12" i="117" s="1"/>
  <c r="G27" i="77"/>
  <c r="F48" i="2"/>
  <c r="G22" i="80"/>
  <c r="F45" i="2"/>
  <c r="G26" i="66"/>
  <c r="F44" i="2"/>
  <c r="G23" i="27"/>
  <c r="I40" i="2" s="1"/>
  <c r="G65" i="24"/>
  <c r="C30" i="2"/>
  <c r="L30" i="2" s="1"/>
  <c r="B30" i="123" s="1"/>
  <c r="L30" i="123" s="1"/>
  <c r="L29" i="2"/>
  <c r="G41" i="62"/>
  <c r="I28" i="2"/>
  <c r="L28" i="2" s="1"/>
  <c r="G25" i="6"/>
  <c r="I22" i="2" s="1"/>
  <c r="H19" i="105"/>
  <c r="I19" i="105" s="1"/>
  <c r="I18" i="105"/>
  <c r="C16" i="105"/>
  <c r="G12" i="105"/>
  <c r="C19" i="105"/>
  <c r="H8" i="105"/>
  <c r="I8" i="105" s="1"/>
  <c r="H5" i="105"/>
  <c r="G5" i="105"/>
  <c r="G9" i="105" s="1"/>
  <c r="G5" i="16"/>
  <c r="F5" i="16"/>
  <c r="G12" i="16"/>
  <c r="H12" i="16" s="1"/>
  <c r="H16" i="16" s="1"/>
  <c r="F12" i="16"/>
  <c r="B29" i="16"/>
  <c r="F24" i="16"/>
  <c r="F29" i="16" s="1"/>
  <c r="I6" i="2" s="1"/>
  <c r="G19" i="16"/>
  <c r="G20" i="16" s="1"/>
  <c r="G8" i="16"/>
  <c r="H8" i="16" s="1"/>
  <c r="F8" i="16"/>
  <c r="G24" i="16"/>
  <c r="H24" i="16" s="1"/>
  <c r="C31" i="48"/>
  <c r="B43" i="48"/>
  <c r="G31" i="48"/>
  <c r="F77" i="2" s="1"/>
  <c r="C26" i="48"/>
  <c r="E75" i="109" s="1"/>
  <c r="H21" i="48"/>
  <c r="I21" i="48" s="1"/>
  <c r="H15" i="48"/>
  <c r="I15" i="48" s="1"/>
  <c r="H13" i="48"/>
  <c r="I13" i="48" s="1"/>
  <c r="H38" i="48"/>
  <c r="I38" i="48" s="1"/>
  <c r="H30" i="48"/>
  <c r="I30" i="48" s="1"/>
  <c r="B45" i="48"/>
  <c r="O75" i="109"/>
  <c r="H39" i="48"/>
  <c r="I39" i="48" s="1"/>
  <c r="G39" i="48"/>
  <c r="H12" i="48"/>
  <c r="I12" i="48" s="1"/>
  <c r="I25" i="48"/>
  <c r="I26" i="48" s="1"/>
  <c r="H4" i="48"/>
  <c r="I28" i="48"/>
  <c r="C7" i="48"/>
  <c r="H19" i="48"/>
  <c r="I19" i="48" s="1"/>
  <c r="H22" i="48"/>
  <c r="I22" i="48" s="1"/>
  <c r="H20" i="48"/>
  <c r="H23" i="48" s="1"/>
  <c r="G20" i="48"/>
  <c r="G23" i="48" s="1"/>
  <c r="C77" i="2" s="1"/>
  <c r="H10" i="48"/>
  <c r="G10" i="48"/>
  <c r="G16" i="48" s="1"/>
  <c r="B77" i="2" s="1"/>
  <c r="H40" i="48"/>
  <c r="I40" i="48" s="1"/>
  <c r="H37" i="48"/>
  <c r="I37" i="48" s="1"/>
  <c r="G37" i="48"/>
  <c r="H13" i="111"/>
  <c r="I13" i="111" s="1"/>
  <c r="G13" i="111"/>
  <c r="H8" i="111"/>
  <c r="I8" i="111" s="1"/>
  <c r="G8" i="111"/>
  <c r="C16" i="111"/>
  <c r="G12" i="111"/>
  <c r="H6" i="111"/>
  <c r="I6" i="111" s="1"/>
  <c r="G6" i="111"/>
  <c r="H24" i="111"/>
  <c r="H11" i="111"/>
  <c r="I11" i="111" s="1"/>
  <c r="I5" i="111"/>
  <c r="C23" i="12"/>
  <c r="H12" i="12"/>
  <c r="I12" i="12" s="1"/>
  <c r="H8" i="12"/>
  <c r="I8" i="12" s="1"/>
  <c r="H5" i="12"/>
  <c r="I5" i="12" s="1"/>
  <c r="I23" i="12"/>
  <c r="C16" i="12"/>
  <c r="P15" i="109"/>
  <c r="H13" i="12"/>
  <c r="I13" i="12" s="1"/>
  <c r="G16" i="12"/>
  <c r="C17" i="2" s="1"/>
  <c r="C9" i="12"/>
  <c r="C25" i="12" s="1"/>
  <c r="G6" i="12"/>
  <c r="G9" i="12" s="1"/>
  <c r="H4" i="12"/>
  <c r="G23" i="12"/>
  <c r="I17" i="2" s="1"/>
  <c r="G28" i="9"/>
  <c r="H28" i="9"/>
  <c r="I28" i="9" s="1"/>
  <c r="C23" i="9"/>
  <c r="H22" i="9"/>
  <c r="H25" i="9"/>
  <c r="I25" i="9" s="1"/>
  <c r="I30" i="9" s="1"/>
  <c r="H13" i="9"/>
  <c r="G13" i="9"/>
  <c r="H4" i="9"/>
  <c r="I4" i="9" s="1"/>
  <c r="H7" i="9"/>
  <c r="I7" i="9" s="1"/>
  <c r="G7" i="9"/>
  <c r="H14" i="9"/>
  <c r="I14" i="9" s="1"/>
  <c r="H5" i="9"/>
  <c r="I5" i="9" s="1"/>
  <c r="C30" i="9"/>
  <c r="P40" i="109"/>
  <c r="H12" i="38"/>
  <c r="I12" i="38" s="1"/>
  <c r="G12" i="38"/>
  <c r="C27" i="38"/>
  <c r="C9" i="38"/>
  <c r="C31" i="38" s="1"/>
  <c r="H18" i="38"/>
  <c r="H13" i="38"/>
  <c r="I13" i="38" s="1"/>
  <c r="H6" i="38"/>
  <c r="I6" i="38" s="1"/>
  <c r="H4" i="38"/>
  <c r="C38" i="7"/>
  <c r="G24" i="7"/>
  <c r="G38" i="7" s="1"/>
  <c r="I21" i="2" s="1"/>
  <c r="G9" i="7"/>
  <c r="B21" i="2" s="1"/>
  <c r="C9" i="7"/>
  <c r="H24" i="7"/>
  <c r="I24" i="7" s="1"/>
  <c r="H8" i="7"/>
  <c r="I8" i="7" s="1"/>
  <c r="H5" i="7"/>
  <c r="G5" i="7"/>
  <c r="P19" i="109"/>
  <c r="H23" i="7"/>
  <c r="I23" i="7" s="1"/>
  <c r="H12" i="7"/>
  <c r="G12" i="7"/>
  <c r="G16" i="7" s="1"/>
  <c r="C21" i="2" s="1"/>
  <c r="H4" i="7"/>
  <c r="I4" i="7" s="1"/>
  <c r="H13" i="6"/>
  <c r="I13" i="6" s="1"/>
  <c r="G13" i="6"/>
  <c r="H12" i="6"/>
  <c r="I12" i="6" s="1"/>
  <c r="G12" i="6"/>
  <c r="G16" i="6" s="1"/>
  <c r="H6" i="6"/>
  <c r="I6" i="6" s="1"/>
  <c r="G6" i="6"/>
  <c r="P20" i="109"/>
  <c r="C25" i="6"/>
  <c r="C9" i="6"/>
  <c r="H5" i="6"/>
  <c r="G5" i="6"/>
  <c r="H21" i="6"/>
  <c r="I21" i="6" s="1"/>
  <c r="I25" i="6" s="1"/>
  <c r="H8" i="6"/>
  <c r="I8" i="6" s="1"/>
  <c r="H4" i="6"/>
  <c r="I4" i="6" s="1"/>
  <c r="B38" i="5"/>
  <c r="O21" i="109" s="1"/>
  <c r="P21" i="109" s="1"/>
  <c r="H17" i="5"/>
  <c r="I17" i="5" s="1"/>
  <c r="G17" i="5"/>
  <c r="H27" i="5"/>
  <c r="H14" i="5"/>
  <c r="I14" i="5" s="1"/>
  <c r="H5" i="5"/>
  <c r="I5" i="5" s="1"/>
  <c r="G36" i="5"/>
  <c r="I23" i="2" s="1"/>
  <c r="H28" i="5"/>
  <c r="I28" i="5" s="1"/>
  <c r="H13" i="5"/>
  <c r="I13" i="5" s="1"/>
  <c r="H8" i="5"/>
  <c r="I8" i="5" s="1"/>
  <c r="G8" i="5"/>
  <c r="B33" i="4"/>
  <c r="O22" i="109" s="1"/>
  <c r="P22" i="109" s="1"/>
  <c r="G12" i="4"/>
  <c r="H12" i="4"/>
  <c r="G25" i="4"/>
  <c r="C31" i="4"/>
  <c r="H25" i="4"/>
  <c r="I25" i="4" s="1"/>
  <c r="G5" i="4"/>
  <c r="H5" i="4"/>
  <c r="I5" i="4" s="1"/>
  <c r="G13" i="4"/>
  <c r="H13" i="4"/>
  <c r="I13" i="4" s="1"/>
  <c r="H8" i="4"/>
  <c r="I8" i="4" s="1"/>
  <c r="G8" i="4"/>
  <c r="H6" i="4"/>
  <c r="I6" i="4" s="1"/>
  <c r="G6" i="4"/>
  <c r="H26" i="4"/>
  <c r="I26" i="4" s="1"/>
  <c r="G26" i="4"/>
  <c r="C16" i="4"/>
  <c r="C22" i="4"/>
  <c r="H11" i="4"/>
  <c r="I11" i="4" s="1"/>
  <c r="H29" i="4"/>
  <c r="I29" i="4" s="1"/>
  <c r="H27" i="4"/>
  <c r="I27" i="4" s="1"/>
  <c r="G27" i="4"/>
  <c r="H34" i="3"/>
  <c r="I34" i="3" s="1"/>
  <c r="G34" i="3"/>
  <c r="G38" i="3" s="1"/>
  <c r="I25" i="2" s="1"/>
  <c r="H36" i="3"/>
  <c r="I36" i="3" s="1"/>
  <c r="G36" i="3"/>
  <c r="H30" i="3"/>
  <c r="I30" i="3" s="1"/>
  <c r="H15" i="3"/>
  <c r="H11" i="3"/>
  <c r="I11" i="3" s="1"/>
  <c r="H8" i="3"/>
  <c r="I8" i="3" s="1"/>
  <c r="G8" i="3"/>
  <c r="G12" i="3" s="1"/>
  <c r="B25" i="2" s="1"/>
  <c r="H6" i="3"/>
  <c r="I6" i="3" s="1"/>
  <c r="H25" i="3"/>
  <c r="G25" i="3"/>
  <c r="G27" i="3" s="1"/>
  <c r="F25" i="2" s="1"/>
  <c r="H37" i="3"/>
  <c r="I37" i="3" s="1"/>
  <c r="H35" i="3"/>
  <c r="I35" i="3" s="1"/>
  <c r="H26" i="3"/>
  <c r="I26" i="3" s="1"/>
  <c r="H17" i="3"/>
  <c r="I17" i="3" s="1"/>
  <c r="H9" i="3"/>
  <c r="I9" i="3" s="1"/>
  <c r="H7" i="3"/>
  <c r="I7" i="3" s="1"/>
  <c r="H5" i="3"/>
  <c r="I5" i="3" s="1"/>
  <c r="H27" i="60"/>
  <c r="I27" i="60" s="1"/>
  <c r="G27" i="60"/>
  <c r="H24" i="60"/>
  <c r="I24" i="60" s="1"/>
  <c r="G24" i="60"/>
  <c r="H5" i="60"/>
  <c r="G5" i="60"/>
  <c r="H31" i="60"/>
  <c r="I31" i="60" s="1"/>
  <c r="H21" i="60"/>
  <c r="G21" i="60"/>
  <c r="G22" i="60" s="1"/>
  <c r="F26" i="2" s="1"/>
  <c r="H15" i="60"/>
  <c r="I15" i="60" s="1"/>
  <c r="G15" i="60"/>
  <c r="H10" i="60"/>
  <c r="I10" i="60" s="1"/>
  <c r="H7" i="60"/>
  <c r="I7" i="60" s="1"/>
  <c r="G7" i="60"/>
  <c r="H4" i="60"/>
  <c r="I4" i="60" s="1"/>
  <c r="H13" i="60"/>
  <c r="I13" i="60" s="1"/>
  <c r="H28" i="60"/>
  <c r="I28" i="60" s="1"/>
  <c r="G28" i="60"/>
  <c r="H20" i="60"/>
  <c r="I20" i="60" s="1"/>
  <c r="H14" i="60"/>
  <c r="G14" i="60"/>
  <c r="H6" i="60"/>
  <c r="I6" i="60" s="1"/>
  <c r="G30" i="61"/>
  <c r="H30" i="61"/>
  <c r="I30" i="61" s="1"/>
  <c r="H28" i="61"/>
  <c r="I28" i="61" s="1"/>
  <c r="G28" i="61"/>
  <c r="H19" i="61"/>
  <c r="H6" i="61"/>
  <c r="I6" i="61" s="1"/>
  <c r="G6" i="61"/>
  <c r="C12" i="61"/>
  <c r="H29" i="61"/>
  <c r="I29" i="61" s="1"/>
  <c r="H22" i="61"/>
  <c r="I22" i="61" s="1"/>
  <c r="G22" i="61"/>
  <c r="G15" i="61"/>
  <c r="G27" i="61"/>
  <c r="H21" i="61"/>
  <c r="I21" i="61" s="1"/>
  <c r="G21" i="61"/>
  <c r="H14" i="61"/>
  <c r="I14" i="61" s="1"/>
  <c r="I19" i="61" s="1"/>
  <c r="H7" i="61"/>
  <c r="I7" i="61" s="1"/>
  <c r="H5" i="61"/>
  <c r="I5" i="62"/>
  <c r="I14" i="62" s="1"/>
  <c r="I41" i="62" s="1"/>
  <c r="N28" i="2" s="1"/>
  <c r="I28" i="115" s="1"/>
  <c r="J28" i="115" s="1"/>
  <c r="H19" i="62"/>
  <c r="I11" i="59"/>
  <c r="B33" i="59"/>
  <c r="O27" i="109" s="1"/>
  <c r="P27" i="109" s="1"/>
  <c r="I21" i="59"/>
  <c r="H11" i="59"/>
  <c r="I13" i="59"/>
  <c r="I17" i="59" s="1"/>
  <c r="G33" i="59"/>
  <c r="I11" i="24"/>
  <c r="H11" i="24"/>
  <c r="C65" i="24"/>
  <c r="M30" i="2" s="1"/>
  <c r="F30" i="115" s="1"/>
  <c r="G30" i="115" s="1"/>
  <c r="H14" i="23"/>
  <c r="H17" i="23" s="1"/>
  <c r="G14" i="23"/>
  <c r="C31" i="23"/>
  <c r="P29" i="109"/>
  <c r="I22" i="23"/>
  <c r="I23" i="23" s="1"/>
  <c r="H4" i="23"/>
  <c r="I4" i="23" s="1"/>
  <c r="H5" i="23"/>
  <c r="G5" i="23"/>
  <c r="G10" i="23" s="1"/>
  <c r="B31" i="2" s="1"/>
  <c r="H25" i="23"/>
  <c r="I25" i="23" s="1"/>
  <c r="C20" i="23"/>
  <c r="C33" i="23" s="1"/>
  <c r="H29" i="23"/>
  <c r="I29" i="23" s="1"/>
  <c r="C23" i="23"/>
  <c r="G31" i="23"/>
  <c r="I31" i="2" s="1"/>
  <c r="C17" i="23"/>
  <c r="G13" i="23"/>
  <c r="H26" i="23"/>
  <c r="I26" i="23" s="1"/>
  <c r="H19" i="23"/>
  <c r="G19" i="28"/>
  <c r="G20" i="28" s="1"/>
  <c r="I38" i="2" s="1"/>
  <c r="C20" i="28"/>
  <c r="H19" i="28"/>
  <c r="I19" i="28" s="1"/>
  <c r="B20" i="28"/>
  <c r="H13" i="28"/>
  <c r="I13" i="28" s="1"/>
  <c r="H10" i="28"/>
  <c r="H17" i="28"/>
  <c r="I17" i="28" s="1"/>
  <c r="H11" i="28"/>
  <c r="C23" i="27"/>
  <c r="H5" i="27"/>
  <c r="G5" i="27"/>
  <c r="G9" i="27" s="1"/>
  <c r="B40" i="2" s="1"/>
  <c r="H22" i="27"/>
  <c r="H6" i="27"/>
  <c r="I6" i="27" s="1"/>
  <c r="H11" i="27"/>
  <c r="I11" i="27" s="1"/>
  <c r="H13" i="27"/>
  <c r="I13" i="27" s="1"/>
  <c r="G13" i="27"/>
  <c r="H4" i="112"/>
  <c r="I4" i="112" s="1"/>
  <c r="H8" i="112"/>
  <c r="I8" i="112" s="1"/>
  <c r="G8" i="112"/>
  <c r="C9" i="112"/>
  <c r="G5" i="112"/>
  <c r="H19" i="112"/>
  <c r="I19" i="112" s="1"/>
  <c r="G19" i="112"/>
  <c r="H18" i="112"/>
  <c r="I18" i="112" s="1"/>
  <c r="G18" i="112"/>
  <c r="H25" i="112"/>
  <c r="I25" i="112" s="1"/>
  <c r="G25" i="112"/>
  <c r="H20" i="112"/>
  <c r="I20" i="112" s="1"/>
  <c r="C16" i="112"/>
  <c r="G12" i="112"/>
  <c r="G16" i="112" s="1"/>
  <c r="C39" i="2" s="1"/>
  <c r="H11" i="112"/>
  <c r="I11" i="112" s="1"/>
  <c r="H12" i="112"/>
  <c r="H21" i="112"/>
  <c r="I21" i="112" s="1"/>
  <c r="G22" i="26"/>
  <c r="H22" i="26"/>
  <c r="I22" i="26" s="1"/>
  <c r="C9" i="26"/>
  <c r="H20" i="26"/>
  <c r="I20" i="26" s="1"/>
  <c r="G20" i="26"/>
  <c r="I16" i="26"/>
  <c r="H6" i="26"/>
  <c r="I6" i="26" s="1"/>
  <c r="H18" i="26"/>
  <c r="I18" i="26" s="1"/>
  <c r="G12" i="26"/>
  <c r="H4" i="26"/>
  <c r="I4" i="26" s="1"/>
  <c r="H8" i="26"/>
  <c r="I8" i="26" s="1"/>
  <c r="H21" i="26"/>
  <c r="I21" i="26" s="1"/>
  <c r="H19" i="25"/>
  <c r="I19" i="25" s="1"/>
  <c r="I28" i="25" s="1"/>
  <c r="G19" i="25"/>
  <c r="G28" i="25" s="1"/>
  <c r="I42" i="2" s="1"/>
  <c r="C9" i="25"/>
  <c r="H6" i="25"/>
  <c r="I6" i="25" s="1"/>
  <c r="H18" i="25"/>
  <c r="I18" i="25" s="1"/>
  <c r="H12" i="25"/>
  <c r="I12" i="25" s="1"/>
  <c r="I16" i="25" s="1"/>
  <c r="G12" i="25"/>
  <c r="H20" i="25"/>
  <c r="I20" i="25" s="1"/>
  <c r="H8" i="25"/>
  <c r="I8" i="25" s="1"/>
  <c r="H13" i="25"/>
  <c r="I13" i="25" s="1"/>
  <c r="H16" i="78"/>
  <c r="H18" i="78"/>
  <c r="H20" i="78" s="1"/>
  <c r="G18" i="78"/>
  <c r="G20" i="78" s="1"/>
  <c r="C16" i="78"/>
  <c r="H22" i="78"/>
  <c r="B44" i="109"/>
  <c r="L44" i="109" s="1"/>
  <c r="P44" i="109" s="1"/>
  <c r="B27" i="79"/>
  <c r="O43" i="109" s="1"/>
  <c r="P43" i="109" s="1"/>
  <c r="C20" i="79"/>
  <c r="H18" i="79"/>
  <c r="I18" i="79" s="1"/>
  <c r="G18" i="79"/>
  <c r="G20" i="79" s="1"/>
  <c r="H19" i="79"/>
  <c r="I19" i="79" s="1"/>
  <c r="P42" i="109"/>
  <c r="C9" i="80"/>
  <c r="B45" i="123" s="1"/>
  <c r="L45" i="123" s="1"/>
  <c r="H18" i="80"/>
  <c r="I21" i="66"/>
  <c r="H24" i="66"/>
  <c r="I24" i="66" s="1"/>
  <c r="H16" i="66"/>
  <c r="B44" i="2"/>
  <c r="H9" i="66"/>
  <c r="I18" i="66"/>
  <c r="I19" i="66" s="1"/>
  <c r="I26" i="66" s="1"/>
  <c r="N44" i="2" s="1"/>
  <c r="I44" i="115" s="1"/>
  <c r="J44" i="115" s="1"/>
  <c r="C16" i="66"/>
  <c r="B26" i="66"/>
  <c r="O41" i="109" s="1"/>
  <c r="P41" i="109" s="1"/>
  <c r="C19" i="66"/>
  <c r="C32" i="60"/>
  <c r="C20" i="78"/>
  <c r="C28" i="25"/>
  <c r="H16" i="26"/>
  <c r="C31" i="26"/>
  <c r="C36" i="112"/>
  <c r="C9" i="27"/>
  <c r="I4" i="28"/>
  <c r="B60" i="109"/>
  <c r="H19" i="83"/>
  <c r="H20" i="83" s="1"/>
  <c r="G19" i="83"/>
  <c r="G20" i="83" s="1"/>
  <c r="C16" i="83"/>
  <c r="H13" i="83"/>
  <c r="H16" i="83" s="1"/>
  <c r="C9" i="83"/>
  <c r="L60" i="109"/>
  <c r="C25" i="83"/>
  <c r="H23" i="83"/>
  <c r="I23" i="83" s="1"/>
  <c r="H25" i="83"/>
  <c r="I25" i="83" s="1"/>
  <c r="I22" i="83"/>
  <c r="H9" i="83"/>
  <c r="L62" i="109"/>
  <c r="P62" i="109" s="1"/>
  <c r="B27" i="83"/>
  <c r="B64" i="2"/>
  <c r="H25" i="84"/>
  <c r="N59" i="109" s="1"/>
  <c r="B59" i="106"/>
  <c r="O59" i="109"/>
  <c r="C16" i="84"/>
  <c r="C25" i="84" s="1"/>
  <c r="M59" i="109" s="1"/>
  <c r="B59" i="109"/>
  <c r="L59" i="109" s="1"/>
  <c r="C61" i="115"/>
  <c r="D61" i="115" s="1"/>
  <c r="M61" i="2"/>
  <c r="F61" i="115" s="1"/>
  <c r="G61" i="115" s="1"/>
  <c r="I22" i="85"/>
  <c r="H26" i="85"/>
  <c r="I26" i="85" s="1"/>
  <c r="B27" i="85"/>
  <c r="C9" i="85"/>
  <c r="C58" i="109"/>
  <c r="L58" i="109" s="1"/>
  <c r="C26" i="85"/>
  <c r="H18" i="85"/>
  <c r="I18" i="85" s="1"/>
  <c r="G18" i="85"/>
  <c r="H19" i="85"/>
  <c r="I19" i="85" s="1"/>
  <c r="G19" i="85"/>
  <c r="C20" i="85"/>
  <c r="I22" i="86"/>
  <c r="H25" i="86"/>
  <c r="I25" i="86" s="1"/>
  <c r="O57" i="109"/>
  <c r="B57" i="106"/>
  <c r="H16" i="86"/>
  <c r="H18" i="86"/>
  <c r="I18" i="86" s="1"/>
  <c r="G18" i="86"/>
  <c r="C20" i="86"/>
  <c r="C25" i="86"/>
  <c r="H19" i="86"/>
  <c r="I19" i="86" s="1"/>
  <c r="C16" i="86"/>
  <c r="H16" i="65"/>
  <c r="B56" i="106"/>
  <c r="O56" i="109"/>
  <c r="P56" i="109" s="1"/>
  <c r="H22" i="65"/>
  <c r="C16" i="65"/>
  <c r="C9" i="65"/>
  <c r="I22" i="67"/>
  <c r="H26" i="67"/>
  <c r="H19" i="67"/>
  <c r="I19" i="67" s="1"/>
  <c r="G19" i="67"/>
  <c r="C26" i="67"/>
  <c r="M55" i="109" s="1"/>
  <c r="B27" i="67"/>
  <c r="O55" i="109" s="1"/>
  <c r="P55" i="109" s="1"/>
  <c r="H18" i="67"/>
  <c r="I18" i="67" s="1"/>
  <c r="I20" i="67" s="1"/>
  <c r="C27" i="67"/>
  <c r="M56" i="2"/>
  <c r="F56" i="115" s="1"/>
  <c r="G56" i="115" s="1"/>
  <c r="N54" i="109"/>
  <c r="C21" i="68"/>
  <c r="B26" i="68"/>
  <c r="C56" i="2"/>
  <c r="I22" i="69"/>
  <c r="H25" i="69"/>
  <c r="I25" i="69" s="1"/>
  <c r="H9" i="69"/>
  <c r="H18" i="69"/>
  <c r="I18" i="69" s="1"/>
  <c r="B26" i="69"/>
  <c r="O53" i="109" s="1"/>
  <c r="P53" i="109" s="1"/>
  <c r="H19" i="69"/>
  <c r="I19" i="69" s="1"/>
  <c r="G19" i="69"/>
  <c r="I21" i="70"/>
  <c r="H24" i="70"/>
  <c r="I24" i="70" s="1"/>
  <c r="C16" i="70"/>
  <c r="C9" i="70"/>
  <c r="C24" i="70"/>
  <c r="C23" i="71"/>
  <c r="M51" i="109" s="1"/>
  <c r="B51" i="106"/>
  <c r="L51" i="109"/>
  <c r="B23" i="71"/>
  <c r="O51" i="109" s="1"/>
  <c r="H9" i="72"/>
  <c r="H21" i="72" s="1"/>
  <c r="L50" i="109"/>
  <c r="B21" i="72"/>
  <c r="O50" i="109" s="1"/>
  <c r="B52" i="2"/>
  <c r="H9" i="73"/>
  <c r="H16" i="73"/>
  <c r="P49" i="109"/>
  <c r="C9" i="73"/>
  <c r="C16" i="73"/>
  <c r="L48" i="109"/>
  <c r="P48" i="109" s="1"/>
  <c r="C9" i="74"/>
  <c r="C24" i="74"/>
  <c r="H24" i="74"/>
  <c r="I24" i="74" s="1"/>
  <c r="I26" i="74" s="1"/>
  <c r="N50" i="2" s="1"/>
  <c r="I50" i="115" s="1"/>
  <c r="J50" i="115" s="1"/>
  <c r="C16" i="74"/>
  <c r="C19" i="74"/>
  <c r="H19" i="74"/>
  <c r="H9" i="76"/>
  <c r="H26" i="76" s="1"/>
  <c r="I26" i="76"/>
  <c r="N49" i="2" s="1"/>
  <c r="I49" i="115" s="1"/>
  <c r="J49" i="115" s="1"/>
  <c r="B26" i="76"/>
  <c r="O46" i="109" s="1"/>
  <c r="C16" i="76"/>
  <c r="C26" i="76" s="1"/>
  <c r="M46" i="109" s="1"/>
  <c r="C49" i="2"/>
  <c r="I21" i="77"/>
  <c r="H25" i="77"/>
  <c r="I25" i="77" s="1"/>
  <c r="B48" i="2"/>
  <c r="B27" i="77"/>
  <c r="O45" i="109" s="1"/>
  <c r="C16" i="77"/>
  <c r="C25" i="77"/>
  <c r="C19" i="77"/>
  <c r="H18" i="77"/>
  <c r="B48" i="13"/>
  <c r="O14" i="109" s="1"/>
  <c r="P14" i="109" s="1"/>
  <c r="B61" i="106"/>
  <c r="O61" i="109"/>
  <c r="P61" i="109" s="1"/>
  <c r="H9" i="82"/>
  <c r="H26" i="82" s="1"/>
  <c r="C9" i="82"/>
  <c r="C26" i="82" s="1"/>
  <c r="M61" i="109" s="1"/>
  <c r="I18" i="82"/>
  <c r="I19" i="82" s="1"/>
  <c r="I26" i="82" s="1"/>
  <c r="N63" i="2" s="1"/>
  <c r="I63" i="115" s="1"/>
  <c r="J63" i="115" s="1"/>
  <c r="H16" i="90"/>
  <c r="H24" i="90"/>
  <c r="I24" i="90" s="1"/>
  <c r="I22" i="90"/>
  <c r="C25" i="90"/>
  <c r="M62" i="109" s="1"/>
  <c r="H18" i="90"/>
  <c r="H4" i="90"/>
  <c r="H9" i="90" s="1"/>
  <c r="C19" i="90"/>
  <c r="H9" i="89"/>
  <c r="C9" i="89"/>
  <c r="C28" i="89" s="1"/>
  <c r="M63" i="109" s="1"/>
  <c r="H26" i="89"/>
  <c r="I26" i="89" s="1"/>
  <c r="C63" i="109"/>
  <c r="L63" i="109" s="1"/>
  <c r="P63" i="109" s="1"/>
  <c r="H20" i="89"/>
  <c r="I18" i="89"/>
  <c r="I20" i="89" s="1"/>
  <c r="L64" i="109"/>
  <c r="H19" i="88"/>
  <c r="H25" i="88" s="1"/>
  <c r="I18" i="88"/>
  <c r="I19" i="88" s="1"/>
  <c r="H23" i="88"/>
  <c r="I23" i="88" s="1"/>
  <c r="C19" i="88"/>
  <c r="C16" i="88"/>
  <c r="B25" i="88"/>
  <c r="O65" i="109"/>
  <c r="P65" i="109" s="1"/>
  <c r="B65" i="106"/>
  <c r="I22" i="98"/>
  <c r="H26" i="98"/>
  <c r="I26" i="98" s="1"/>
  <c r="C20" i="98"/>
  <c r="G18" i="98"/>
  <c r="C26" i="98"/>
  <c r="H19" i="98"/>
  <c r="I19" i="98" s="1"/>
  <c r="G19" i="98"/>
  <c r="C16" i="98"/>
  <c r="C9" i="98"/>
  <c r="H18" i="98"/>
  <c r="B25" i="81"/>
  <c r="H26" i="95"/>
  <c r="I26" i="95" s="1"/>
  <c r="C19" i="95"/>
  <c r="C9" i="95"/>
  <c r="H18" i="95"/>
  <c r="L68" i="109"/>
  <c r="P68" i="109" s="1"/>
  <c r="C25" i="94"/>
  <c r="M68" i="109" s="1"/>
  <c r="O68" i="109"/>
  <c r="B69" i="106"/>
  <c r="L69" i="109"/>
  <c r="C20" i="93"/>
  <c r="C9" i="93"/>
  <c r="C16" i="93"/>
  <c r="B27" i="93"/>
  <c r="I21" i="96"/>
  <c r="H24" i="96"/>
  <c r="I24" i="96" s="1"/>
  <c r="H9" i="96"/>
  <c r="O70" i="109"/>
  <c r="P70" i="109" s="1"/>
  <c r="B71" i="106"/>
  <c r="C26" i="96"/>
  <c r="M70" i="109" s="1"/>
  <c r="I18" i="96"/>
  <c r="I19" i="96" s="1"/>
  <c r="C24" i="96"/>
  <c r="C35" i="45"/>
  <c r="H33" i="45"/>
  <c r="B35" i="45"/>
  <c r="C7" i="45"/>
  <c r="D6" i="55" s="1"/>
  <c r="F6" i="55" s="1"/>
  <c r="H26" i="45"/>
  <c r="I21" i="45"/>
  <c r="I26" i="45" s="1"/>
  <c r="I10" i="45"/>
  <c r="C44" i="45"/>
  <c r="C18" i="45"/>
  <c r="C26" i="45"/>
  <c r="K4" i="46"/>
  <c r="I4" i="46"/>
  <c r="H34" i="46"/>
  <c r="L4" i="46"/>
  <c r="B36" i="46"/>
  <c r="H28" i="46"/>
  <c r="C29" i="46"/>
  <c r="F73" i="109" s="1"/>
  <c r="I20" i="46"/>
  <c r="C25" i="46"/>
  <c r="C14" i="46"/>
  <c r="C9" i="46"/>
  <c r="C8" i="47"/>
  <c r="G8" i="55" s="1"/>
  <c r="G5" i="47"/>
  <c r="G8" i="47" s="1"/>
  <c r="C31" i="47"/>
  <c r="G29" i="47"/>
  <c r="H30" i="47"/>
  <c r="I30" i="47" s="1"/>
  <c r="I31" i="47" s="1"/>
  <c r="G30" i="47"/>
  <c r="H21" i="47"/>
  <c r="I21" i="47" s="1"/>
  <c r="H14" i="47"/>
  <c r="I14" i="47" s="1"/>
  <c r="H7" i="47"/>
  <c r="I7" i="47" s="1"/>
  <c r="H4" i="47"/>
  <c r="C17" i="47"/>
  <c r="G17" i="47"/>
  <c r="B76" i="2" s="1"/>
  <c r="H24" i="47"/>
  <c r="I24" i="47" s="1"/>
  <c r="H22" i="47"/>
  <c r="I22" i="47" s="1"/>
  <c r="H11" i="47"/>
  <c r="I11" i="47" s="1"/>
  <c r="I17" i="47" s="1"/>
  <c r="H5" i="47"/>
  <c r="I5" i="47" s="1"/>
  <c r="I15" i="63"/>
  <c r="N30" i="2" s="1"/>
  <c r="I30" i="115" s="1"/>
  <c r="J30" i="115" s="1"/>
  <c r="C17" i="9"/>
  <c r="I5" i="7"/>
  <c r="I12" i="7"/>
  <c r="I16" i="7" s="1"/>
  <c r="H16" i="7"/>
  <c r="H33" i="59"/>
  <c r="H24" i="62"/>
  <c r="C23" i="61"/>
  <c r="I14" i="60"/>
  <c r="I21" i="60"/>
  <c r="I5" i="60"/>
  <c r="C22" i="60"/>
  <c r="I25" i="3"/>
  <c r="H27" i="3"/>
  <c r="C38" i="3"/>
  <c r="C12" i="3"/>
  <c r="C9" i="4"/>
  <c r="C11" i="5"/>
  <c r="I5" i="6"/>
  <c r="C16" i="6"/>
  <c r="C10" i="29"/>
  <c r="I25" i="29"/>
  <c r="H4" i="29"/>
  <c r="C36" i="29"/>
  <c r="C38" i="29" s="1"/>
  <c r="C31" i="30"/>
  <c r="H27" i="30"/>
  <c r="H36" i="30"/>
  <c r="G36" i="30"/>
  <c r="H30" i="30"/>
  <c r="G17" i="30"/>
  <c r="C13" i="30"/>
  <c r="G7" i="30"/>
  <c r="H37" i="30"/>
  <c r="I37" i="30" s="1"/>
  <c r="I36" i="30"/>
  <c r="H17" i="30"/>
  <c r="C54" i="30"/>
  <c r="C16" i="42"/>
  <c r="H36" i="42"/>
  <c r="I36" i="42" s="1"/>
  <c r="C41" i="42"/>
  <c r="I31" i="42"/>
  <c r="I4" i="42"/>
  <c r="B41" i="42"/>
  <c r="H11" i="42"/>
  <c r="C25" i="42"/>
  <c r="G24" i="20"/>
  <c r="H24" i="20"/>
  <c r="I24" i="20" s="1"/>
  <c r="C26" i="20"/>
  <c r="H23" i="20"/>
  <c r="I23" i="20" s="1"/>
  <c r="G23" i="20"/>
  <c r="H8" i="20"/>
  <c r="G8" i="20"/>
  <c r="G9" i="20" s="1"/>
  <c r="B34" i="2" s="1"/>
  <c r="C9" i="20"/>
  <c r="H29" i="21"/>
  <c r="I29" i="21" s="1"/>
  <c r="G29" i="21"/>
  <c r="G37" i="21" s="1"/>
  <c r="I33" i="2" s="1"/>
  <c r="G13" i="21"/>
  <c r="H14" i="21"/>
  <c r="I14" i="21" s="1"/>
  <c r="G14" i="21"/>
  <c r="H28" i="21"/>
  <c r="I28" i="21" s="1"/>
  <c r="H7" i="21"/>
  <c r="I7" i="21" s="1"/>
  <c r="H5" i="21"/>
  <c r="I5" i="21" s="1"/>
  <c r="G5" i="21"/>
  <c r="G10" i="21" s="1"/>
  <c r="B33" i="2" s="1"/>
  <c r="C37" i="21"/>
  <c r="C10" i="21"/>
  <c r="I10" i="48"/>
  <c r="C41" i="48"/>
  <c r="C23" i="48"/>
  <c r="C16" i="48"/>
  <c r="C35" i="49"/>
  <c r="E35" i="49" s="1"/>
  <c r="B36" i="49"/>
  <c r="B38" i="49" s="1"/>
  <c r="B40" i="49" s="1"/>
  <c r="C30" i="49"/>
  <c r="H30" i="49"/>
  <c r="H22" i="49"/>
  <c r="C8" i="49"/>
  <c r="C16" i="49"/>
  <c r="C22" i="49"/>
  <c r="I28" i="49"/>
  <c r="I30" i="49" s="1"/>
  <c r="H25" i="49"/>
  <c r="C30" i="52"/>
  <c r="C43" i="52"/>
  <c r="E77" i="109"/>
  <c r="C75" i="52"/>
  <c r="H49" i="52"/>
  <c r="I48" i="52"/>
  <c r="I49" i="52" s="1"/>
  <c r="I36" i="52"/>
  <c r="H43" i="52"/>
  <c r="C9" i="52"/>
  <c r="C15" i="52"/>
  <c r="J4" i="52"/>
  <c r="H52" i="52"/>
  <c r="H24" i="52"/>
  <c r="C49" i="52"/>
  <c r="H77" i="109" s="1"/>
  <c r="O78" i="109"/>
  <c r="B64" i="53"/>
  <c r="H39" i="53"/>
  <c r="I39" i="53" s="1"/>
  <c r="G39" i="53"/>
  <c r="I32" i="53"/>
  <c r="I33" i="53" s="1"/>
  <c r="C41" i="53"/>
  <c r="G36" i="53"/>
  <c r="G41" i="53" s="1"/>
  <c r="F80" i="2" s="1"/>
  <c r="H17" i="53"/>
  <c r="G17" i="53"/>
  <c r="G20" i="53" s="1"/>
  <c r="B80" i="2" s="1"/>
  <c r="G29" i="53"/>
  <c r="C80" i="2" s="1"/>
  <c r="H59" i="53"/>
  <c r="I59" i="53" s="1"/>
  <c r="G59" i="53"/>
  <c r="H57" i="53"/>
  <c r="I57" i="53" s="1"/>
  <c r="G57" i="53"/>
  <c r="H51" i="53"/>
  <c r="I51" i="53" s="1"/>
  <c r="G51" i="53"/>
  <c r="C60" i="53"/>
  <c r="G46" i="53"/>
  <c r="H48" i="53"/>
  <c r="I48" i="53" s="1"/>
  <c r="G48" i="53"/>
  <c r="H6" i="53"/>
  <c r="C29" i="53"/>
  <c r="H24" i="53"/>
  <c r="H30" i="55"/>
  <c r="H13" i="53"/>
  <c r="I13" i="53" s="1"/>
  <c r="C8" i="53"/>
  <c r="H50" i="53"/>
  <c r="I50" i="53" s="1"/>
  <c r="H38" i="53"/>
  <c r="I38" i="53" s="1"/>
  <c r="H4" i="53"/>
  <c r="I4" i="53" s="1"/>
  <c r="H14" i="53"/>
  <c r="I14" i="53" s="1"/>
  <c r="H26" i="53"/>
  <c r="I26" i="53" s="1"/>
  <c r="H55" i="53"/>
  <c r="I55" i="53" s="1"/>
  <c r="H53" i="53"/>
  <c r="I53" i="53" s="1"/>
  <c r="G53" i="53"/>
  <c r="H49" i="53"/>
  <c r="I49" i="53" s="1"/>
  <c r="H44" i="53"/>
  <c r="I44" i="53" s="1"/>
  <c r="I17" i="53"/>
  <c r="H36" i="53"/>
  <c r="C20" i="53"/>
  <c r="H4" i="54"/>
  <c r="I4" i="54" s="1"/>
  <c r="J6" i="54"/>
  <c r="H33" i="54"/>
  <c r="H6" i="54"/>
  <c r="I6" i="54" s="1"/>
  <c r="C10" i="54"/>
  <c r="G13" i="55" s="1"/>
  <c r="C37" i="54"/>
  <c r="E37" i="54" s="1"/>
  <c r="C33" i="54"/>
  <c r="H5" i="54"/>
  <c r="I5" i="54" s="1"/>
  <c r="I13" i="54"/>
  <c r="I42" i="56"/>
  <c r="I44" i="56" s="1"/>
  <c r="C29" i="54"/>
  <c r="C22" i="54"/>
  <c r="B18" i="32"/>
  <c r="O23" i="109" s="1"/>
  <c r="P23" i="109" s="1"/>
  <c r="N28" i="109"/>
  <c r="M28" i="109"/>
  <c r="H5" i="22"/>
  <c r="I5" i="22" s="1"/>
  <c r="H14" i="22"/>
  <c r="I14" i="22" s="1"/>
  <c r="I17" i="22" s="1"/>
  <c r="G14" i="22"/>
  <c r="H6" i="22"/>
  <c r="I6" i="22" s="1"/>
  <c r="G6" i="22"/>
  <c r="H4" i="22"/>
  <c r="I4" i="22" s="1"/>
  <c r="G4" i="22"/>
  <c r="C37" i="22"/>
  <c r="G22" i="22"/>
  <c r="G37" i="22" s="1"/>
  <c r="I32" i="2" s="1"/>
  <c r="I19" i="22"/>
  <c r="I20" i="22" s="1"/>
  <c r="C17" i="22"/>
  <c r="G13" i="22"/>
  <c r="P30" i="109"/>
  <c r="H22" i="22"/>
  <c r="C10" i="22"/>
  <c r="I25" i="14"/>
  <c r="I26" i="14" s="1"/>
  <c r="I34" i="14"/>
  <c r="H22" i="14"/>
  <c r="C19" i="14"/>
  <c r="C36" i="14" s="1"/>
  <c r="H23" i="13"/>
  <c r="I23" i="13" s="1"/>
  <c r="I22" i="13"/>
  <c r="I46" i="13" s="1"/>
  <c r="H23" i="12"/>
  <c r="C17" i="13"/>
  <c r="C10" i="13"/>
  <c r="H34" i="14"/>
  <c r="H5" i="44"/>
  <c r="H7" i="44" s="1"/>
  <c r="G5" i="44"/>
  <c r="G7" i="44" s="1"/>
  <c r="C50" i="44"/>
  <c r="G41" i="44"/>
  <c r="H28" i="56"/>
  <c r="H42" i="56" s="1"/>
  <c r="H44" i="56" s="1"/>
  <c r="H46" i="56" s="1"/>
  <c r="H15" i="44"/>
  <c r="I15" i="44" s="1"/>
  <c r="G15" i="44"/>
  <c r="H47" i="44"/>
  <c r="I47" i="44" s="1"/>
  <c r="G47" i="44"/>
  <c r="H12" i="44"/>
  <c r="I12" i="44" s="1"/>
  <c r="G12" i="44"/>
  <c r="C19" i="44"/>
  <c r="G10" i="44"/>
  <c r="H38" i="44"/>
  <c r="I38" i="44" s="1"/>
  <c r="G38" i="44"/>
  <c r="G39" i="44" s="1"/>
  <c r="G73" i="2" s="1"/>
  <c r="H43" i="44"/>
  <c r="I43" i="44" s="1"/>
  <c r="G43" i="44"/>
  <c r="H23" i="44"/>
  <c r="I23" i="44" s="1"/>
  <c r="G23" i="44"/>
  <c r="H16" i="44"/>
  <c r="I16" i="44" s="1"/>
  <c r="H14" i="44"/>
  <c r="I14" i="44" s="1"/>
  <c r="H41" i="44"/>
  <c r="H24" i="44"/>
  <c r="I24" i="44" s="1"/>
  <c r="G24" i="44"/>
  <c r="H48" i="44"/>
  <c r="I48" i="44" s="1"/>
  <c r="H46" i="44"/>
  <c r="I46" i="44" s="1"/>
  <c r="H10" i="44"/>
  <c r="C7" i="44"/>
  <c r="C27" i="44"/>
  <c r="H7" i="11"/>
  <c r="I7" i="11" s="1"/>
  <c r="G7" i="11"/>
  <c r="H28" i="11"/>
  <c r="I28" i="11" s="1"/>
  <c r="C29" i="11"/>
  <c r="H13" i="11"/>
  <c r="G13" i="11"/>
  <c r="H12" i="11"/>
  <c r="G12" i="11"/>
  <c r="H6" i="11"/>
  <c r="I6" i="11" s="1"/>
  <c r="G6" i="11"/>
  <c r="H18" i="11"/>
  <c r="H19" i="11" s="1"/>
  <c r="G18" i="11"/>
  <c r="G19" i="11" s="1"/>
  <c r="D18" i="2" s="1"/>
  <c r="H5" i="11"/>
  <c r="I5" i="11" s="1"/>
  <c r="B31" i="11"/>
  <c r="O16" i="109" s="1"/>
  <c r="P16" i="109" s="1"/>
  <c r="I13" i="11"/>
  <c r="C9" i="11"/>
  <c r="C9" i="111"/>
  <c r="H12" i="111"/>
  <c r="H22" i="110"/>
  <c r="H23" i="110" s="1"/>
  <c r="C9" i="110"/>
  <c r="H38" i="110"/>
  <c r="I22" i="110"/>
  <c r="I23" i="110" s="1"/>
  <c r="I25" i="110"/>
  <c r="I38" i="110" s="1"/>
  <c r="H9" i="110"/>
  <c r="H11" i="15"/>
  <c r="H30" i="15"/>
  <c r="I30" i="15" s="1"/>
  <c r="C20" i="15"/>
  <c r="H20" i="15"/>
  <c r="I20" i="15" s="1"/>
  <c r="I19" i="15"/>
  <c r="I22" i="15"/>
  <c r="H24" i="15"/>
  <c r="I24" i="15" s="1"/>
  <c r="C37" i="15"/>
  <c r="C9" i="15"/>
  <c r="H4" i="15"/>
  <c r="I11" i="15"/>
  <c r="I16" i="15" s="1"/>
  <c r="G9" i="15"/>
  <c r="B12" i="2" s="1"/>
  <c r="P12" i="109"/>
  <c r="H13" i="15"/>
  <c r="I13" i="15" s="1"/>
  <c r="C16" i="15"/>
  <c r="G12" i="15"/>
  <c r="G16" i="15" s="1"/>
  <c r="C12" i="2" s="1"/>
  <c r="H8" i="15"/>
  <c r="I8" i="15" s="1"/>
  <c r="I12" i="2"/>
  <c r="P11" i="109"/>
  <c r="I26" i="104"/>
  <c r="H24" i="104"/>
  <c r="I24" i="104" s="1"/>
  <c r="I22" i="104"/>
  <c r="G16" i="104"/>
  <c r="C11" i="2" s="1"/>
  <c r="H6" i="104"/>
  <c r="I6" i="104" s="1"/>
  <c r="G6" i="104"/>
  <c r="G9" i="104" s="1"/>
  <c r="C34" i="104"/>
  <c r="C24" i="104"/>
  <c r="H11" i="104"/>
  <c r="H12" i="104"/>
  <c r="I12" i="104" s="1"/>
  <c r="H8" i="104"/>
  <c r="I8" i="104" s="1"/>
  <c r="H5" i="104"/>
  <c r="I5" i="104" s="1"/>
  <c r="H30" i="104"/>
  <c r="I30" i="104" s="1"/>
  <c r="H4" i="104"/>
  <c r="I4" i="104" s="1"/>
  <c r="H13" i="104"/>
  <c r="I13" i="104" s="1"/>
  <c r="G34" i="104"/>
  <c r="I11" i="2" s="1"/>
  <c r="H12" i="105"/>
  <c r="I12" i="105" s="1"/>
  <c r="I16" i="105" s="1"/>
  <c r="I32" i="105"/>
  <c r="B30" i="102"/>
  <c r="B32" i="102" s="1"/>
  <c r="O9" i="109" s="1"/>
  <c r="P9" i="109" s="1"/>
  <c r="H30" i="102"/>
  <c r="H5" i="101"/>
  <c r="I5" i="101" s="1"/>
  <c r="H29" i="16"/>
  <c r="G29" i="16"/>
  <c r="B44" i="17"/>
  <c r="O5" i="109" s="1"/>
  <c r="P5" i="109" s="1"/>
  <c r="H13" i="17"/>
  <c r="I13" i="17" s="1"/>
  <c r="H40" i="17"/>
  <c r="I40" i="17" s="1"/>
  <c r="G40" i="17"/>
  <c r="H35" i="17"/>
  <c r="I35" i="17" s="1"/>
  <c r="C14" i="17"/>
  <c r="H20" i="17"/>
  <c r="I20" i="17" s="1"/>
  <c r="H7" i="17"/>
  <c r="I7" i="17" s="1"/>
  <c r="G7" i="17"/>
  <c r="C28" i="17"/>
  <c r="G27" i="17"/>
  <c r="G28" i="17" s="1"/>
  <c r="D5" i="2" s="1"/>
  <c r="H8" i="17"/>
  <c r="I8" i="17" s="1"/>
  <c r="H5" i="17"/>
  <c r="I5" i="17" s="1"/>
  <c r="G34" i="17"/>
  <c r="C9" i="104"/>
  <c r="H32" i="105"/>
  <c r="C9" i="105"/>
  <c r="H16" i="102"/>
  <c r="I30" i="102"/>
  <c r="C16" i="102"/>
  <c r="C9" i="102"/>
  <c r="H25" i="101"/>
  <c r="I25" i="101" s="1"/>
  <c r="G29" i="101"/>
  <c r="I8" i="2" s="1"/>
  <c r="H27" i="101"/>
  <c r="I27" i="101" s="1"/>
  <c r="B31" i="101"/>
  <c r="O8" i="109" s="1"/>
  <c r="P8" i="109" s="1"/>
  <c r="H19" i="101"/>
  <c r="I19" i="101" s="1"/>
  <c r="I18" i="101"/>
  <c r="H13" i="101"/>
  <c r="I13" i="101" s="1"/>
  <c r="H23" i="101"/>
  <c r="I23" i="101" s="1"/>
  <c r="H8" i="101"/>
  <c r="I8" i="101" s="1"/>
  <c r="G9" i="101"/>
  <c r="B8" i="2" s="1"/>
  <c r="H11" i="101"/>
  <c r="I11" i="101" s="1"/>
  <c r="C19" i="101"/>
  <c r="H6" i="101"/>
  <c r="I6" i="101" s="1"/>
  <c r="C29" i="101"/>
  <c r="C9" i="101"/>
  <c r="G9" i="16"/>
  <c r="H5" i="16"/>
  <c r="H9" i="16" s="1"/>
  <c r="B9" i="16"/>
  <c r="C24" i="103"/>
  <c r="G23" i="103"/>
  <c r="G24" i="103" s="1"/>
  <c r="D7" i="2" s="1"/>
  <c r="C27" i="103"/>
  <c r="G26" i="103"/>
  <c r="G27" i="103" s="1"/>
  <c r="F7" i="2" s="1"/>
  <c r="C37" i="103"/>
  <c r="H19" i="103"/>
  <c r="I19" i="103" s="1"/>
  <c r="G19" i="103"/>
  <c r="H17" i="103"/>
  <c r="I17" i="103" s="1"/>
  <c r="G17" i="103"/>
  <c r="H23" i="103"/>
  <c r="H27" i="103"/>
  <c r="H9" i="103"/>
  <c r="I9" i="103" s="1"/>
  <c r="G9" i="103"/>
  <c r="G15" i="103" s="1"/>
  <c r="C21" i="103"/>
  <c r="H12" i="103"/>
  <c r="I12" i="103" s="1"/>
  <c r="H5" i="103"/>
  <c r="H10" i="103"/>
  <c r="G10" i="103"/>
  <c r="H31" i="103"/>
  <c r="I31" i="103" s="1"/>
  <c r="I37" i="103" s="1"/>
  <c r="H42" i="17"/>
  <c r="I18" i="17"/>
  <c r="H17" i="18"/>
  <c r="I17" i="18" s="1"/>
  <c r="G17" i="18"/>
  <c r="H12" i="18"/>
  <c r="I12" i="18" s="1"/>
  <c r="G12" i="18"/>
  <c r="G13" i="18" s="1"/>
  <c r="D4" i="2" s="1"/>
  <c r="H19" i="18"/>
  <c r="I19" i="18" s="1"/>
  <c r="G19" i="18"/>
  <c r="H5" i="18"/>
  <c r="I5" i="18" s="1"/>
  <c r="C24" i="18"/>
  <c r="G15" i="18"/>
  <c r="B60" i="8"/>
  <c r="I39" i="8"/>
  <c r="I40" i="8" s="1"/>
  <c r="H47" i="8"/>
  <c r="I47" i="8" s="1"/>
  <c r="G47" i="8"/>
  <c r="H9" i="8"/>
  <c r="I9" i="8" s="1"/>
  <c r="H23" i="8"/>
  <c r="H43" i="8"/>
  <c r="I43" i="8" s="1"/>
  <c r="H8" i="8"/>
  <c r="I8" i="8" s="1"/>
  <c r="H36" i="8"/>
  <c r="I36" i="8" s="1"/>
  <c r="G36" i="8"/>
  <c r="G37" i="8" s="1"/>
  <c r="H20" i="2" s="1"/>
  <c r="H5" i="8"/>
  <c r="I5" i="8" s="1"/>
  <c r="G5" i="8"/>
  <c r="D18" i="106"/>
  <c r="D83" i="106" s="1"/>
  <c r="D87" i="106" s="1"/>
  <c r="H45" i="8"/>
  <c r="I45" i="8" s="1"/>
  <c r="H30" i="8"/>
  <c r="G15" i="8"/>
  <c r="G20" i="8" s="1"/>
  <c r="C20" i="2" s="1"/>
  <c r="H11" i="8"/>
  <c r="I11" i="8" s="1"/>
  <c r="C40" i="8"/>
  <c r="H34" i="8"/>
  <c r="I34" i="8" s="1"/>
  <c r="C23" i="8"/>
  <c r="C60" i="8"/>
  <c r="C12" i="8"/>
  <c r="C63" i="8" s="1"/>
  <c r="C37" i="8"/>
  <c r="L82" i="109"/>
  <c r="P4" i="109"/>
  <c r="P82" i="109" s="1"/>
  <c r="H10" i="18"/>
  <c r="F71" i="109"/>
  <c r="G26" i="20" l="1"/>
  <c r="I34" i="2" s="1"/>
  <c r="I73" i="109"/>
  <c r="N51" i="109"/>
  <c r="M53" i="2"/>
  <c r="F53" i="115" s="1"/>
  <c r="G53" i="115" s="1"/>
  <c r="E15" i="52"/>
  <c r="E22" i="52" s="1"/>
  <c r="G15" i="52"/>
  <c r="G22" i="52" s="1"/>
  <c r="B79" i="2" s="1"/>
  <c r="G54" i="30"/>
  <c r="I36" i="2" s="1"/>
  <c r="L36" i="2" s="1"/>
  <c r="H20" i="29"/>
  <c r="I20" i="29" s="1"/>
  <c r="G31" i="26"/>
  <c r="I41" i="2" s="1"/>
  <c r="I9" i="46"/>
  <c r="G16" i="26"/>
  <c r="G25" i="30"/>
  <c r="E44" i="45"/>
  <c r="H23" i="81"/>
  <c r="H25" i="81" s="1"/>
  <c r="I22" i="81"/>
  <c r="I23" i="81" s="1"/>
  <c r="I25" i="81" s="1"/>
  <c r="N68" i="2" s="1"/>
  <c r="I68" i="115" s="1"/>
  <c r="J68" i="115" s="1"/>
  <c r="H37" i="15"/>
  <c r="H46" i="13"/>
  <c r="E7" i="44"/>
  <c r="F18" i="89"/>
  <c r="E20" i="89"/>
  <c r="E28" i="89" s="1"/>
  <c r="E16" i="101"/>
  <c r="E16" i="110"/>
  <c r="E40" i="110" s="1"/>
  <c r="E16" i="11"/>
  <c r="F18" i="88"/>
  <c r="E19" i="88"/>
  <c r="E25" i="88" s="1"/>
  <c r="C36" i="2"/>
  <c r="H10" i="54"/>
  <c r="O76" i="109"/>
  <c r="H9" i="20"/>
  <c r="H26" i="74"/>
  <c r="I31" i="26"/>
  <c r="I24" i="111"/>
  <c r="I37" i="111" s="1"/>
  <c r="H37" i="111"/>
  <c r="H9" i="105"/>
  <c r="I16" i="102"/>
  <c r="G9" i="52"/>
  <c r="G9" i="46"/>
  <c r="G18" i="45"/>
  <c r="B74" i="2" s="1"/>
  <c r="E8" i="47"/>
  <c r="F18" i="96"/>
  <c r="E19" i="96"/>
  <c r="E26" i="96" s="1"/>
  <c r="E9" i="15"/>
  <c r="E39" i="15" s="1"/>
  <c r="E34" i="60"/>
  <c r="E16" i="27"/>
  <c r="F18" i="82"/>
  <c r="E19" i="82"/>
  <c r="E26" i="82" s="1"/>
  <c r="E19" i="61"/>
  <c r="E31" i="26"/>
  <c r="E23" i="81"/>
  <c r="E25" i="81" s="1"/>
  <c r="F22" i="81"/>
  <c r="I37" i="15"/>
  <c r="G17" i="60"/>
  <c r="E19" i="95"/>
  <c r="E28" i="95" s="1"/>
  <c r="F18" i="95"/>
  <c r="F18" i="76"/>
  <c r="E19" i="76"/>
  <c r="E26" i="76" s="1"/>
  <c r="F18" i="94"/>
  <c r="E19" i="94"/>
  <c r="E25" i="94" s="1"/>
  <c r="E38" i="7"/>
  <c r="E16" i="25"/>
  <c r="E16" i="48"/>
  <c r="J32" i="56"/>
  <c r="I26" i="96"/>
  <c r="N72" i="2" s="1"/>
  <c r="P57" i="109"/>
  <c r="C26" i="66"/>
  <c r="M41" i="109" s="1"/>
  <c r="I34" i="61"/>
  <c r="G9" i="111"/>
  <c r="B14" i="2" s="1"/>
  <c r="I11" i="110"/>
  <c r="I16" i="110" s="1"/>
  <c r="H16" i="110"/>
  <c r="E39" i="103"/>
  <c r="E15" i="103"/>
  <c r="E17" i="29"/>
  <c r="G19" i="3"/>
  <c r="E41" i="42"/>
  <c r="E25" i="6"/>
  <c r="E29" i="53"/>
  <c r="E26" i="45"/>
  <c r="E46" i="45" s="1"/>
  <c r="E19" i="72"/>
  <c r="E21" i="72" s="1"/>
  <c r="F18" i="72"/>
  <c r="E9" i="105"/>
  <c r="E34" i="105" s="1"/>
  <c r="E16" i="112"/>
  <c r="E38" i="112" s="1"/>
  <c r="E7" i="45"/>
  <c r="E30" i="52"/>
  <c r="E10" i="21"/>
  <c r="E39" i="21" s="1"/>
  <c r="E34" i="14"/>
  <c r="G16" i="101"/>
  <c r="C8" i="2" s="1"/>
  <c r="L8" i="2" s="1"/>
  <c r="G16" i="11"/>
  <c r="G11" i="4"/>
  <c r="E11" i="4"/>
  <c r="E16" i="4" s="1"/>
  <c r="H16" i="25"/>
  <c r="I7" i="45"/>
  <c r="I29" i="101"/>
  <c r="H35" i="44"/>
  <c r="I33" i="59"/>
  <c r="N29" i="2" s="1"/>
  <c r="I29" i="115" s="1"/>
  <c r="J29" i="115" s="1"/>
  <c r="G9" i="6"/>
  <c r="B22" i="2" s="1"/>
  <c r="H22" i="54"/>
  <c r="E31" i="11"/>
  <c r="E9" i="27"/>
  <c r="E9" i="25"/>
  <c r="E30" i="25" s="1"/>
  <c r="E43" i="42"/>
  <c r="E35" i="45"/>
  <c r="E9" i="7"/>
  <c r="E40" i="7" s="1"/>
  <c r="E34" i="61"/>
  <c r="G16" i="27"/>
  <c r="C40" i="2" s="1"/>
  <c r="L40" i="2" s="1"/>
  <c r="E10" i="23"/>
  <c r="G19" i="61"/>
  <c r="E54" i="30"/>
  <c r="F18" i="68"/>
  <c r="E19" i="68"/>
  <c r="E21" i="68" s="1"/>
  <c r="E19" i="44"/>
  <c r="G11" i="14"/>
  <c r="B13" i="2" s="1"/>
  <c r="E36" i="49"/>
  <c r="E38" i="49" s="1"/>
  <c r="E40" i="49" s="1"/>
  <c r="G16" i="25"/>
  <c r="E8" i="53"/>
  <c r="E20" i="53"/>
  <c r="E62" i="53" s="1"/>
  <c r="H84" i="2"/>
  <c r="C8" i="117" s="1"/>
  <c r="D8" i="117" s="1"/>
  <c r="I5" i="103"/>
  <c r="H15" i="103"/>
  <c r="G14" i="46"/>
  <c r="E14" i="46"/>
  <c r="E18" i="46" s="1"/>
  <c r="C41" i="2"/>
  <c r="I31" i="23"/>
  <c r="G16" i="111"/>
  <c r="C14" i="2" s="1"/>
  <c r="I31" i="48"/>
  <c r="H44" i="45"/>
  <c r="I15" i="18"/>
  <c r="I22" i="18" s="1"/>
  <c r="H22" i="18"/>
  <c r="E25" i="17"/>
  <c r="E71" i="109"/>
  <c r="E84" i="2"/>
  <c r="C5" i="117" s="1"/>
  <c r="D5" i="117" s="1"/>
  <c r="E19" i="70"/>
  <c r="E26" i="70" s="1"/>
  <c r="F18" i="70"/>
  <c r="E19" i="5"/>
  <c r="E15" i="28"/>
  <c r="E9" i="110"/>
  <c r="H23" i="94"/>
  <c r="I21" i="94"/>
  <c r="E25" i="46"/>
  <c r="E9" i="104"/>
  <c r="E36" i="104" s="1"/>
  <c r="E11" i="14"/>
  <c r="E36" i="14" s="1"/>
  <c r="E23" i="48"/>
  <c r="E17" i="23"/>
  <c r="E50" i="44"/>
  <c r="H17" i="22"/>
  <c r="E26" i="47"/>
  <c r="E33" i="47" s="1"/>
  <c r="E35" i="47" s="1"/>
  <c r="E19" i="74"/>
  <c r="E26" i="74" s="1"/>
  <c r="F18" i="74"/>
  <c r="E9" i="6"/>
  <c r="E20" i="65"/>
  <c r="E28" i="65" s="1"/>
  <c r="F18" i="65"/>
  <c r="G22" i="18"/>
  <c r="H10" i="13"/>
  <c r="C78" i="109"/>
  <c r="K41" i="53"/>
  <c r="I4" i="52"/>
  <c r="G6" i="55"/>
  <c r="H26" i="96"/>
  <c r="G20" i="86"/>
  <c r="G17" i="13"/>
  <c r="I16" i="49"/>
  <c r="I22" i="49"/>
  <c r="E60" i="8"/>
  <c r="E42" i="17"/>
  <c r="G9" i="25"/>
  <c r="B42" i="2" s="1"/>
  <c r="E16" i="26"/>
  <c r="E25" i="30"/>
  <c r="G37" i="111"/>
  <c r="I14" i="2" s="1"/>
  <c r="F16" i="16"/>
  <c r="C6" i="2" s="1"/>
  <c r="G19" i="5"/>
  <c r="E39" i="54"/>
  <c r="E41" i="54" s="1"/>
  <c r="E43" i="54" s="1"/>
  <c r="F18" i="69"/>
  <c r="E20" i="69"/>
  <c r="E26" i="69" s="1"/>
  <c r="E37" i="111"/>
  <c r="E39" i="111" s="1"/>
  <c r="E31" i="48"/>
  <c r="K34" i="51"/>
  <c r="K40" i="51" s="1"/>
  <c r="K72" i="51" s="1"/>
  <c r="J40" i="51"/>
  <c r="J72" i="51" s="1"/>
  <c r="E75" i="52"/>
  <c r="E77" i="52" s="1"/>
  <c r="E79" i="52" s="1"/>
  <c r="I4" i="14"/>
  <c r="I11" i="14" s="1"/>
  <c r="H11" i="14"/>
  <c r="E31" i="23"/>
  <c r="E33" i="23" s="1"/>
  <c r="F18" i="67"/>
  <c r="E20" i="67"/>
  <c r="E27" i="67" s="1"/>
  <c r="E17" i="22"/>
  <c r="E39" i="22" s="1"/>
  <c r="E41" i="48"/>
  <c r="E43" i="48" s="1"/>
  <c r="E45" i="48" s="1"/>
  <c r="E17" i="47"/>
  <c r="B68" i="106"/>
  <c r="O67" i="109"/>
  <c r="F32" i="87"/>
  <c r="H13" i="30"/>
  <c r="H30" i="9"/>
  <c r="I20" i="28"/>
  <c r="I9" i="111"/>
  <c r="I17" i="13"/>
  <c r="I19" i="21"/>
  <c r="I20" i="21" s="1"/>
  <c r="P67" i="109"/>
  <c r="E17" i="9"/>
  <c r="E9" i="101"/>
  <c r="G8" i="28"/>
  <c r="B38" i="2" s="1"/>
  <c r="E38" i="29"/>
  <c r="E19" i="73"/>
  <c r="E21" i="73" s="1"/>
  <c r="F18" i="73"/>
  <c r="G30" i="102"/>
  <c r="I9" i="2" s="1"/>
  <c r="G17" i="21"/>
  <c r="F20" i="86"/>
  <c r="F27" i="86" s="1"/>
  <c r="E28" i="20"/>
  <c r="E19" i="90"/>
  <c r="E25" i="90" s="1"/>
  <c r="F18" i="90"/>
  <c r="G34" i="14"/>
  <c r="I13" i="2" s="1"/>
  <c r="E36" i="5"/>
  <c r="E33" i="4"/>
  <c r="G35" i="45"/>
  <c r="F74" i="2" s="1"/>
  <c r="F72" i="109" s="1"/>
  <c r="B29" i="116"/>
  <c r="D29" i="116" s="1"/>
  <c r="B29" i="123"/>
  <c r="L29" i="123" s="1"/>
  <c r="B28" i="116"/>
  <c r="D28" i="116" s="1"/>
  <c r="B28" i="123"/>
  <c r="L28" i="123" s="1"/>
  <c r="G10" i="9"/>
  <c r="B19" i="2" s="1"/>
  <c r="G16" i="105"/>
  <c r="C10" i="2" s="1"/>
  <c r="D84" i="2"/>
  <c r="D24" i="18"/>
  <c r="E13" i="18"/>
  <c r="E24" i="18" s="1"/>
  <c r="C35" i="9"/>
  <c r="G16" i="110"/>
  <c r="G9" i="38"/>
  <c r="B43" i="2" s="1"/>
  <c r="G16" i="38"/>
  <c r="E9" i="38"/>
  <c r="E16" i="38"/>
  <c r="G17" i="9"/>
  <c r="C19" i="2" s="1"/>
  <c r="I38" i="3"/>
  <c r="E19" i="3"/>
  <c r="G17" i="29"/>
  <c r="C37" i="2" s="1"/>
  <c r="E9" i="26"/>
  <c r="E25" i="27"/>
  <c r="I11" i="28"/>
  <c r="H15" i="28"/>
  <c r="E22" i="28"/>
  <c r="C38" i="2"/>
  <c r="G13" i="30"/>
  <c r="B36" i="2" s="1"/>
  <c r="E13" i="30"/>
  <c r="E56" i="30" s="1"/>
  <c r="G12" i="61"/>
  <c r="B27" i="2" s="1"/>
  <c r="E36" i="61"/>
  <c r="G11" i="5"/>
  <c r="B23" i="2" s="1"/>
  <c r="C23" i="2"/>
  <c r="E11" i="5"/>
  <c r="E38" i="5" s="1"/>
  <c r="I9" i="11"/>
  <c r="I12" i="11"/>
  <c r="I16" i="11" s="1"/>
  <c r="H16" i="11"/>
  <c r="B7" i="106"/>
  <c r="C5" i="2"/>
  <c r="E31" i="101"/>
  <c r="C43" i="2"/>
  <c r="E12" i="8"/>
  <c r="E63" i="8" s="1"/>
  <c r="I15" i="8"/>
  <c r="I20" i="8" s="1"/>
  <c r="E27" i="38"/>
  <c r="I37" i="8"/>
  <c r="C29" i="115"/>
  <c r="D29" i="115" s="1"/>
  <c r="B27" i="106"/>
  <c r="C25" i="2"/>
  <c r="L25" i="2" s="1"/>
  <c r="E30" i="9"/>
  <c r="E10" i="9"/>
  <c r="H17" i="9"/>
  <c r="I10" i="9"/>
  <c r="G30" i="9"/>
  <c r="I19" i="2" s="1"/>
  <c r="E14" i="17"/>
  <c r="E44" i="17" s="1"/>
  <c r="G60" i="8"/>
  <c r="I20" i="2" s="1"/>
  <c r="H37" i="8"/>
  <c r="G12" i="8"/>
  <c r="I12" i="8"/>
  <c r="C53" i="115"/>
  <c r="D53" i="115" s="1"/>
  <c r="I5" i="44"/>
  <c r="I7" i="44" s="1"/>
  <c r="I5" i="55" s="1"/>
  <c r="C52" i="44"/>
  <c r="I30" i="44"/>
  <c r="H31" i="44"/>
  <c r="I33" i="54"/>
  <c r="H29" i="54"/>
  <c r="G75" i="52"/>
  <c r="I79" i="2" s="1"/>
  <c r="H8" i="49"/>
  <c r="F76" i="109"/>
  <c r="I16" i="48"/>
  <c r="G41" i="48"/>
  <c r="I77" i="2" s="1"/>
  <c r="I75" i="109" s="1"/>
  <c r="I26" i="47"/>
  <c r="I18" i="45"/>
  <c r="I27" i="44"/>
  <c r="I39" i="44"/>
  <c r="C28" i="98"/>
  <c r="M65" i="109" s="1"/>
  <c r="I18" i="70"/>
  <c r="I19" i="70" s="1"/>
  <c r="I26" i="70" s="1"/>
  <c r="N54" i="2" s="1"/>
  <c r="I54" i="115" s="1"/>
  <c r="J54" i="115" s="1"/>
  <c r="H19" i="70"/>
  <c r="P45" i="109"/>
  <c r="I18" i="78"/>
  <c r="I20" i="78" s="1"/>
  <c r="L44" i="2"/>
  <c r="B44" i="123" s="1"/>
  <c r="L44" i="123" s="1"/>
  <c r="H28" i="25"/>
  <c r="I9" i="25"/>
  <c r="I9" i="26"/>
  <c r="I33" i="26" s="1"/>
  <c r="N41" i="2" s="1"/>
  <c r="I41" i="115" s="1"/>
  <c r="J41" i="115" s="1"/>
  <c r="I9" i="112"/>
  <c r="I16" i="27"/>
  <c r="I8" i="28"/>
  <c r="H36" i="29"/>
  <c r="I36" i="29"/>
  <c r="G36" i="29"/>
  <c r="G10" i="29"/>
  <c r="B37" i="2" s="1"/>
  <c r="H17" i="21"/>
  <c r="I37" i="21"/>
  <c r="I5" i="23"/>
  <c r="I10" i="23" s="1"/>
  <c r="H10" i="23"/>
  <c r="B28" i="106"/>
  <c r="B30" i="116"/>
  <c r="D30" i="116" s="1"/>
  <c r="E12" i="3"/>
  <c r="E40" i="3" s="1"/>
  <c r="G34" i="61"/>
  <c r="I27" i="2" s="1"/>
  <c r="I22" i="60"/>
  <c r="I17" i="60"/>
  <c r="H22" i="60"/>
  <c r="I32" i="60"/>
  <c r="I12" i="3"/>
  <c r="I27" i="3"/>
  <c r="I19" i="5"/>
  <c r="H9" i="6"/>
  <c r="C40" i="7"/>
  <c r="H10" i="9"/>
  <c r="H17" i="13"/>
  <c r="H19" i="14"/>
  <c r="H40" i="110"/>
  <c r="M15" i="2" s="1"/>
  <c r="F15" i="115" s="1"/>
  <c r="G15" i="115" s="1"/>
  <c r="I5" i="105"/>
  <c r="G9" i="102"/>
  <c r="B9" i="2" s="1"/>
  <c r="H9" i="102"/>
  <c r="F9" i="16"/>
  <c r="C56" i="30"/>
  <c r="M34" i="109" s="1"/>
  <c r="C22" i="28"/>
  <c r="H8" i="28"/>
  <c r="C44" i="17"/>
  <c r="M5" i="109" s="1"/>
  <c r="H27" i="38"/>
  <c r="I27" i="38"/>
  <c r="I16" i="38"/>
  <c r="G25" i="42"/>
  <c r="F35" i="2" s="1"/>
  <c r="H9" i="42"/>
  <c r="I25" i="42"/>
  <c r="C43" i="42"/>
  <c r="G9" i="42"/>
  <c r="B35" i="2" s="1"/>
  <c r="L35" i="2" s="1"/>
  <c r="G17" i="22"/>
  <c r="C32" i="2" s="1"/>
  <c r="I10" i="22"/>
  <c r="I10" i="103"/>
  <c r="I14" i="14"/>
  <c r="I19" i="14" s="1"/>
  <c r="G19" i="14"/>
  <c r="I17" i="21"/>
  <c r="H37" i="21"/>
  <c r="I20" i="69"/>
  <c r="I26" i="69" s="1"/>
  <c r="N55" i="2" s="1"/>
  <c r="I55" i="115" s="1"/>
  <c r="J55" i="115" s="1"/>
  <c r="C27" i="86"/>
  <c r="M57" i="109" s="1"/>
  <c r="I20" i="86"/>
  <c r="I27" i="86" s="1"/>
  <c r="N59" i="2" s="1"/>
  <c r="I59" i="115" s="1"/>
  <c r="J59" i="115" s="1"/>
  <c r="I20" i="85"/>
  <c r="I27" i="85" s="1"/>
  <c r="N60" i="2" s="1"/>
  <c r="I60" i="115" s="1"/>
  <c r="J60" i="115" s="1"/>
  <c r="H20" i="85"/>
  <c r="H27" i="85" s="1"/>
  <c r="I19" i="83"/>
  <c r="I20" i="83" s="1"/>
  <c r="G20" i="98"/>
  <c r="I20" i="93"/>
  <c r="I27" i="93" s="1"/>
  <c r="N71" i="2" s="1"/>
  <c r="I71" i="115" s="1"/>
  <c r="J71" i="115" s="1"/>
  <c r="G20" i="93"/>
  <c r="H20" i="93"/>
  <c r="H27" i="93" s="1"/>
  <c r="M71" i="2" s="1"/>
  <c r="F71" i="115" s="1"/>
  <c r="G71" i="115" s="1"/>
  <c r="H39" i="44"/>
  <c r="G27" i="44"/>
  <c r="C73" i="2" s="1"/>
  <c r="C71" i="109" s="1"/>
  <c r="G26" i="45"/>
  <c r="C46" i="45"/>
  <c r="C49" i="45" s="1"/>
  <c r="I39" i="45"/>
  <c r="I44" i="45" s="1"/>
  <c r="H18" i="45"/>
  <c r="H7" i="45"/>
  <c r="K28" i="56" s="1"/>
  <c r="G44" i="45"/>
  <c r="I74" i="2" s="1"/>
  <c r="I72" i="109" s="1"/>
  <c r="G18" i="46"/>
  <c r="H9" i="46"/>
  <c r="H7" i="55" s="1"/>
  <c r="H25" i="46"/>
  <c r="I25" i="46"/>
  <c r="G25" i="46"/>
  <c r="C75" i="2" s="1"/>
  <c r="C73" i="109" s="1"/>
  <c r="H26" i="47"/>
  <c r="D8" i="55"/>
  <c r="F8" i="55" s="1"/>
  <c r="H41" i="48"/>
  <c r="H35" i="49"/>
  <c r="G35" i="49"/>
  <c r="G36" i="49" s="1"/>
  <c r="G16" i="49"/>
  <c r="B78" i="2" s="1"/>
  <c r="G22" i="49"/>
  <c r="C78" i="2" s="1"/>
  <c r="C76" i="109" s="1"/>
  <c r="C36" i="49"/>
  <c r="H16" i="49"/>
  <c r="I77" i="109"/>
  <c r="I43" i="52"/>
  <c r="H9" i="52"/>
  <c r="C77" i="109"/>
  <c r="J43" i="52"/>
  <c r="G30" i="52"/>
  <c r="C79" i="2" s="1"/>
  <c r="G43" i="52"/>
  <c r="I60" i="53"/>
  <c r="H37" i="54"/>
  <c r="I37" i="54" s="1"/>
  <c r="I39" i="54" s="1"/>
  <c r="G37" i="54"/>
  <c r="G39" i="54" s="1"/>
  <c r="G22" i="54"/>
  <c r="B81" i="2" s="1"/>
  <c r="I22" i="54"/>
  <c r="C39" i="54"/>
  <c r="I25" i="54"/>
  <c r="I29" i="54" s="1"/>
  <c r="I10" i="54"/>
  <c r="I13" i="55" s="1"/>
  <c r="L6" i="54"/>
  <c r="F79" i="109"/>
  <c r="G29" i="54"/>
  <c r="C81" i="2" s="1"/>
  <c r="C79" i="109" s="1"/>
  <c r="P46" i="109"/>
  <c r="L48" i="2"/>
  <c r="B48" i="116" s="1"/>
  <c r="D48" i="116" s="1"/>
  <c r="H20" i="79"/>
  <c r="H27" i="79" s="1"/>
  <c r="M46" i="2" s="1"/>
  <c r="F46" i="115" s="1"/>
  <c r="G46" i="115" s="1"/>
  <c r="H9" i="26"/>
  <c r="H36" i="112"/>
  <c r="H9" i="27"/>
  <c r="M36" i="109"/>
  <c r="H17" i="29"/>
  <c r="H25" i="42"/>
  <c r="I9" i="42"/>
  <c r="H26" i="20"/>
  <c r="I10" i="21"/>
  <c r="C33" i="2"/>
  <c r="L33" i="2" s="1"/>
  <c r="M29" i="109"/>
  <c r="I14" i="23"/>
  <c r="I17" i="23" s="1"/>
  <c r="I23" i="61"/>
  <c r="H38" i="3"/>
  <c r="G16" i="4"/>
  <c r="C24" i="2" s="1"/>
  <c r="I31" i="4"/>
  <c r="G9" i="4"/>
  <c r="B24" i="2" s="1"/>
  <c r="H19" i="5"/>
  <c r="H11" i="5"/>
  <c r="I11" i="5"/>
  <c r="M19" i="109"/>
  <c r="H16" i="38"/>
  <c r="I13" i="9"/>
  <c r="I17" i="9" s="1"/>
  <c r="H9" i="11"/>
  <c r="G9" i="11"/>
  <c r="B18" i="2" s="1"/>
  <c r="C18" i="2"/>
  <c r="M15" i="109"/>
  <c r="I16" i="12"/>
  <c r="C16" i="2"/>
  <c r="L16" i="2" s="1"/>
  <c r="G48" i="13"/>
  <c r="M13" i="109"/>
  <c r="C13" i="2"/>
  <c r="I40" i="110"/>
  <c r="N15" i="2" s="1"/>
  <c r="I15" i="115" s="1"/>
  <c r="J15" i="115" s="1"/>
  <c r="I42" i="17"/>
  <c r="I14" i="17"/>
  <c r="I5" i="102"/>
  <c r="I9" i="102" s="1"/>
  <c r="I32" i="102" s="1"/>
  <c r="N9" i="2" s="1"/>
  <c r="I9" i="115" s="1"/>
  <c r="J9" i="115" s="1"/>
  <c r="G16" i="102"/>
  <c r="C9" i="2" s="1"/>
  <c r="I9" i="104"/>
  <c r="H9" i="104"/>
  <c r="H12" i="8"/>
  <c r="I21" i="103"/>
  <c r="C54" i="44"/>
  <c r="M4" i="109"/>
  <c r="C30" i="115"/>
  <c r="D30" i="115" s="1"/>
  <c r="G60" i="53"/>
  <c r="I80" i="2" s="1"/>
  <c r="I78" i="109" s="1"/>
  <c r="F78" i="109"/>
  <c r="E82" i="109"/>
  <c r="F75" i="109"/>
  <c r="C75" i="109"/>
  <c r="L77" i="2"/>
  <c r="B77" i="116" s="1"/>
  <c r="D77" i="116" s="1"/>
  <c r="G31" i="47"/>
  <c r="I76" i="2" s="1"/>
  <c r="I74" i="109" s="1"/>
  <c r="L74" i="109" s="1"/>
  <c r="L76" i="2"/>
  <c r="B74" i="109"/>
  <c r="G19" i="44"/>
  <c r="B73" i="2" s="1"/>
  <c r="B71" i="109" s="1"/>
  <c r="G28" i="98"/>
  <c r="F67" i="2"/>
  <c r="L67" i="2" s="1"/>
  <c r="G27" i="83"/>
  <c r="F62" i="2"/>
  <c r="L62" i="2" s="1"/>
  <c r="B62" i="123" s="1"/>
  <c r="G20" i="85"/>
  <c r="G27" i="85" s="1"/>
  <c r="G27" i="86"/>
  <c r="F59" i="2"/>
  <c r="L59" i="2" s="1"/>
  <c r="B59" i="116" s="1"/>
  <c r="D59" i="116" s="1"/>
  <c r="G26" i="78"/>
  <c r="F47" i="2"/>
  <c r="L47" i="2" s="1"/>
  <c r="G27" i="79"/>
  <c r="F46" i="2"/>
  <c r="L46" i="2" s="1"/>
  <c r="B46" i="116" s="1"/>
  <c r="D46" i="116" s="1"/>
  <c r="G30" i="25"/>
  <c r="C42" i="2"/>
  <c r="L42" i="2" s="1"/>
  <c r="L41" i="2"/>
  <c r="C41" i="115" s="1"/>
  <c r="D41" i="115" s="1"/>
  <c r="G9" i="112"/>
  <c r="B39" i="2" s="1"/>
  <c r="G36" i="112"/>
  <c r="I39" i="2" s="1"/>
  <c r="G25" i="27"/>
  <c r="L34" i="2"/>
  <c r="G10" i="22"/>
  <c r="B32" i="2" s="1"/>
  <c r="G17" i="23"/>
  <c r="C31" i="2" s="1"/>
  <c r="L31" i="2" s="1"/>
  <c r="G11" i="60"/>
  <c r="B26" i="2" s="1"/>
  <c r="C26" i="2"/>
  <c r="G27" i="6"/>
  <c r="C22" i="2"/>
  <c r="L22" i="2" s="1"/>
  <c r="L21" i="2"/>
  <c r="B21" i="123" s="1"/>
  <c r="L21" i="123" s="1"/>
  <c r="G25" i="12"/>
  <c r="B17" i="2"/>
  <c r="L17" i="2" s="1"/>
  <c r="B17" i="123" s="1"/>
  <c r="L17" i="123" s="1"/>
  <c r="G39" i="111"/>
  <c r="L14" i="2"/>
  <c r="L12" i="2"/>
  <c r="B12" i="123" s="1"/>
  <c r="L12" i="123" s="1"/>
  <c r="G36" i="104"/>
  <c r="B11" i="2"/>
  <c r="L11" i="2" s="1"/>
  <c r="I9" i="105"/>
  <c r="H16" i="105"/>
  <c r="H34" i="105" s="1"/>
  <c r="B10" i="2"/>
  <c r="G34" i="105"/>
  <c r="B6" i="2"/>
  <c r="F31" i="16"/>
  <c r="G16" i="16"/>
  <c r="H19" i="16"/>
  <c r="H20" i="16" s="1"/>
  <c r="I41" i="48"/>
  <c r="I43" i="48" s="1"/>
  <c r="H16" i="48"/>
  <c r="I20" i="48"/>
  <c r="I23" i="48" s="1"/>
  <c r="H31" i="48"/>
  <c r="H7" i="48"/>
  <c r="H9" i="55" s="1"/>
  <c r="I4" i="48"/>
  <c r="I7" i="48" s="1"/>
  <c r="I9" i="55" s="1"/>
  <c r="G9" i="55"/>
  <c r="D9" i="55"/>
  <c r="F9" i="55" s="1"/>
  <c r="H9" i="111"/>
  <c r="H9" i="12"/>
  <c r="I4" i="12"/>
  <c r="I9" i="12" s="1"/>
  <c r="I25" i="12" s="1"/>
  <c r="N17" i="2" s="1"/>
  <c r="I17" i="115" s="1"/>
  <c r="J17" i="115" s="1"/>
  <c r="H16" i="12"/>
  <c r="H23" i="9"/>
  <c r="I22" i="9"/>
  <c r="I23" i="9" s="1"/>
  <c r="I18" i="38"/>
  <c r="I19" i="38" s="1"/>
  <c r="H19" i="38"/>
  <c r="H24" i="55"/>
  <c r="H9" i="38"/>
  <c r="I4" i="38"/>
  <c r="I9" i="38" s="1"/>
  <c r="I31" i="38" s="1"/>
  <c r="I9" i="7"/>
  <c r="G40" i="7"/>
  <c r="H38" i="7"/>
  <c r="H9" i="7"/>
  <c r="I38" i="7"/>
  <c r="I9" i="6"/>
  <c r="I16" i="6"/>
  <c r="I27" i="6" s="1"/>
  <c r="N22" i="2" s="1"/>
  <c r="I22" i="115" s="1"/>
  <c r="J22" i="115" s="1"/>
  <c r="H25" i="6"/>
  <c r="H16" i="6"/>
  <c r="H36" i="5"/>
  <c r="I27" i="5"/>
  <c r="I36" i="5" s="1"/>
  <c r="G38" i="5"/>
  <c r="H16" i="4"/>
  <c r="I12" i="4"/>
  <c r="I16" i="4" s="1"/>
  <c r="H9" i="4"/>
  <c r="H31" i="4"/>
  <c r="I9" i="4"/>
  <c r="G31" i="4"/>
  <c r="H12" i="3"/>
  <c r="H19" i="3"/>
  <c r="I15" i="3"/>
  <c r="I19" i="3" s="1"/>
  <c r="G40" i="3"/>
  <c r="I11" i="60"/>
  <c r="H17" i="60"/>
  <c r="H11" i="60"/>
  <c r="H32" i="60"/>
  <c r="G32" i="60"/>
  <c r="H12" i="61"/>
  <c r="I5" i="61"/>
  <c r="I12" i="61" s="1"/>
  <c r="I36" i="61" s="1"/>
  <c r="N27" i="2" s="1"/>
  <c r="I27" i="115" s="1"/>
  <c r="J27" i="115" s="1"/>
  <c r="H23" i="61"/>
  <c r="H34" i="61"/>
  <c r="C36" i="61"/>
  <c r="G23" i="61"/>
  <c r="F27" i="2" s="1"/>
  <c r="C28" i="115"/>
  <c r="D28" i="115" s="1"/>
  <c r="B26" i="106"/>
  <c r="H41" i="62"/>
  <c r="N26" i="109" s="1"/>
  <c r="H31" i="23"/>
  <c r="H33" i="23" s="1"/>
  <c r="H20" i="23"/>
  <c r="I19" i="23"/>
  <c r="I20" i="23" s="1"/>
  <c r="H20" i="28"/>
  <c r="I10" i="28"/>
  <c r="G22" i="28"/>
  <c r="I5" i="27"/>
  <c r="I9" i="27" s="1"/>
  <c r="I22" i="27"/>
  <c r="I23" i="27" s="1"/>
  <c r="H23" i="27"/>
  <c r="H16" i="27"/>
  <c r="H16" i="112"/>
  <c r="I12" i="112"/>
  <c r="I16" i="112" s="1"/>
  <c r="H9" i="112"/>
  <c r="H38" i="112" s="1"/>
  <c r="M39" i="2" s="1"/>
  <c r="F39" i="115" s="1"/>
  <c r="G39" i="115" s="1"/>
  <c r="I36" i="112"/>
  <c r="G33" i="26"/>
  <c r="H31" i="26"/>
  <c r="H33" i="26" s="1"/>
  <c r="N38" i="109" s="1"/>
  <c r="H9" i="25"/>
  <c r="H24" i="78"/>
  <c r="I24" i="78" s="1"/>
  <c r="I26" i="78" s="1"/>
  <c r="N47" i="2" s="1"/>
  <c r="I47" i="115" s="1"/>
  <c r="J47" i="115" s="1"/>
  <c r="I22" i="78"/>
  <c r="C27" i="79"/>
  <c r="M43" i="109" s="1"/>
  <c r="I20" i="79"/>
  <c r="I27" i="79" s="1"/>
  <c r="N46" i="2" s="1"/>
  <c r="I46" i="115" s="1"/>
  <c r="J46" i="115" s="1"/>
  <c r="H20" i="80"/>
  <c r="H22" i="80" s="1"/>
  <c r="I18" i="80"/>
  <c r="I20" i="80" s="1"/>
  <c r="I22" i="80" s="1"/>
  <c r="N45" i="2" s="1"/>
  <c r="I45" i="115" s="1"/>
  <c r="J45" i="115" s="1"/>
  <c r="B45" i="2"/>
  <c r="L45" i="2" s="1"/>
  <c r="B45" i="116" s="1"/>
  <c r="D45" i="116" s="1"/>
  <c r="C22" i="80"/>
  <c r="M42" i="109" s="1"/>
  <c r="H26" i="66"/>
  <c r="C34" i="60"/>
  <c r="C26" i="78"/>
  <c r="M44" i="109" s="1"/>
  <c r="N43" i="109"/>
  <c r="C30" i="25"/>
  <c r="C33" i="26"/>
  <c r="C38" i="112"/>
  <c r="C25" i="27"/>
  <c r="H27" i="83"/>
  <c r="I27" i="83"/>
  <c r="N62" i="2" s="1"/>
  <c r="I62" i="115" s="1"/>
  <c r="J62" i="115" s="1"/>
  <c r="C27" i="83"/>
  <c r="M60" i="109" s="1"/>
  <c r="B60" i="106"/>
  <c r="O60" i="109"/>
  <c r="P60" i="109" s="1"/>
  <c r="P59" i="109"/>
  <c r="B58" i="106"/>
  <c r="O58" i="109"/>
  <c r="P58" i="109" s="1"/>
  <c r="C27" i="85"/>
  <c r="M58" i="109" s="1"/>
  <c r="M60" i="2"/>
  <c r="F60" i="115" s="1"/>
  <c r="G60" i="115" s="1"/>
  <c r="N58" i="109"/>
  <c r="H20" i="86"/>
  <c r="H27" i="86" s="1"/>
  <c r="M59" i="2" s="1"/>
  <c r="F59" i="115" s="1"/>
  <c r="G59" i="115" s="1"/>
  <c r="N57" i="109"/>
  <c r="H26" i="65"/>
  <c r="I26" i="65" s="1"/>
  <c r="I28" i="65" s="1"/>
  <c r="N58" i="2" s="1"/>
  <c r="I58" i="115" s="1"/>
  <c r="J58" i="115" s="1"/>
  <c r="I22" i="65"/>
  <c r="C28" i="65"/>
  <c r="M56" i="109" s="1"/>
  <c r="H20" i="67"/>
  <c r="H27" i="67" s="1"/>
  <c r="M57" i="2" s="1"/>
  <c r="N55" i="109"/>
  <c r="I26" i="67"/>
  <c r="I27" i="67" s="1"/>
  <c r="N57" i="2" s="1"/>
  <c r="O54" i="109"/>
  <c r="P54" i="109" s="1"/>
  <c r="B54" i="106"/>
  <c r="H20" i="69"/>
  <c r="H26" i="69" s="1"/>
  <c r="N53" i="109" s="1"/>
  <c r="C26" i="70"/>
  <c r="M52" i="109" s="1"/>
  <c r="H26" i="70"/>
  <c r="P51" i="109"/>
  <c r="P50" i="109"/>
  <c r="N50" i="109"/>
  <c r="M52" i="2"/>
  <c r="F52" i="115" s="1"/>
  <c r="G52" i="115" s="1"/>
  <c r="H21" i="73"/>
  <c r="C21" i="73"/>
  <c r="M49" i="109" s="1"/>
  <c r="N48" i="109"/>
  <c r="M50" i="2"/>
  <c r="F50" i="115" s="1"/>
  <c r="G50" i="115" s="1"/>
  <c r="C26" i="74"/>
  <c r="M48" i="109" s="1"/>
  <c r="N46" i="109"/>
  <c r="M49" i="2"/>
  <c r="F49" i="115" s="1"/>
  <c r="G49" i="115" s="1"/>
  <c r="H19" i="77"/>
  <c r="H27" i="77" s="1"/>
  <c r="I18" i="77"/>
  <c r="I19" i="77" s="1"/>
  <c r="I27" i="77" s="1"/>
  <c r="N48" i="2" s="1"/>
  <c r="I48" i="115" s="1"/>
  <c r="J48" i="115" s="1"/>
  <c r="C27" i="77"/>
  <c r="M45" i="109" s="1"/>
  <c r="M63" i="2"/>
  <c r="F63" i="115" s="1"/>
  <c r="G63" i="115" s="1"/>
  <c r="N61" i="109"/>
  <c r="I18" i="90"/>
  <c r="I19" i="90" s="1"/>
  <c r="I25" i="90" s="1"/>
  <c r="N64" i="2" s="1"/>
  <c r="I64" i="115" s="1"/>
  <c r="J64" i="115" s="1"/>
  <c r="H19" i="90"/>
  <c r="H25" i="90" s="1"/>
  <c r="H28" i="89"/>
  <c r="I28" i="89"/>
  <c r="N65" i="2" s="1"/>
  <c r="I65" i="115" s="1"/>
  <c r="J65" i="115" s="1"/>
  <c r="N64" i="109"/>
  <c r="M66" i="2"/>
  <c r="F66" i="115" s="1"/>
  <c r="G66" i="115" s="1"/>
  <c r="O64" i="109"/>
  <c r="P64" i="109" s="1"/>
  <c r="B64" i="106"/>
  <c r="C25" i="88"/>
  <c r="M64" i="109" s="1"/>
  <c r="I25" i="88"/>
  <c r="N66" i="2" s="1"/>
  <c r="I66" i="115" s="1"/>
  <c r="J66" i="115" s="1"/>
  <c r="H20" i="98"/>
  <c r="H28" i="98" s="1"/>
  <c r="I18" i="98"/>
  <c r="I20" i="98" s="1"/>
  <c r="I28" i="98" s="1"/>
  <c r="N67" i="2" s="1"/>
  <c r="I67" i="115" s="1"/>
  <c r="J67" i="115" s="1"/>
  <c r="O66" i="109"/>
  <c r="P66" i="109" s="1"/>
  <c r="B67" i="106"/>
  <c r="N66" i="109"/>
  <c r="M68" i="2"/>
  <c r="F68" i="115" s="1"/>
  <c r="G68" i="115" s="1"/>
  <c r="H19" i="95"/>
  <c r="H28" i="95" s="1"/>
  <c r="I18" i="95"/>
  <c r="I19" i="95" s="1"/>
  <c r="I28" i="95" s="1"/>
  <c r="N69" i="2" s="1"/>
  <c r="I69" i="115" s="1"/>
  <c r="J69" i="115" s="1"/>
  <c r="C28" i="95"/>
  <c r="M67" i="109" s="1"/>
  <c r="C27" i="93"/>
  <c r="M69" i="109" s="1"/>
  <c r="B70" i="106"/>
  <c r="O69" i="109"/>
  <c r="P69" i="109" s="1"/>
  <c r="N70" i="109"/>
  <c r="M72" i="2"/>
  <c r="F72" i="115" s="1"/>
  <c r="G72" i="115" s="1"/>
  <c r="H35" i="45"/>
  <c r="H46" i="45" s="1"/>
  <c r="I33" i="45"/>
  <c r="I35" i="45" s="1"/>
  <c r="I6" i="55"/>
  <c r="H6" i="55"/>
  <c r="B72" i="109"/>
  <c r="H29" i="46"/>
  <c r="I28" i="46"/>
  <c r="I29" i="46" s="1"/>
  <c r="I7" i="55"/>
  <c r="D7" i="55"/>
  <c r="F7" i="55" s="1"/>
  <c r="G7" i="55"/>
  <c r="H14" i="46"/>
  <c r="C18" i="46"/>
  <c r="C36" i="46" s="1"/>
  <c r="O73" i="109"/>
  <c r="B38" i="46"/>
  <c r="I33" i="47"/>
  <c r="N76" i="2" s="1"/>
  <c r="I76" i="115" s="1"/>
  <c r="J76" i="115" s="1"/>
  <c r="H31" i="47"/>
  <c r="H33" i="47" s="1"/>
  <c r="C33" i="47"/>
  <c r="C35" i="47" s="1"/>
  <c r="J29" i="56"/>
  <c r="H17" i="47"/>
  <c r="I4" i="47"/>
  <c r="I8" i="47" s="1"/>
  <c r="H8" i="47"/>
  <c r="N27" i="109"/>
  <c r="M29" i="2"/>
  <c r="F29" i="115" s="1"/>
  <c r="G29" i="115" s="1"/>
  <c r="C40" i="3"/>
  <c r="C33" i="4"/>
  <c r="C38" i="5"/>
  <c r="C27" i="6"/>
  <c r="I4" i="29"/>
  <c r="I10" i="29" s="1"/>
  <c r="I38" i="29" s="1"/>
  <c r="N37" i="2" s="1"/>
  <c r="I37" i="115" s="1"/>
  <c r="J37" i="115" s="1"/>
  <c r="H10" i="29"/>
  <c r="H38" i="29" s="1"/>
  <c r="H31" i="30"/>
  <c r="H54" i="30" s="1"/>
  <c r="I30" i="30"/>
  <c r="I31" i="30" s="1"/>
  <c r="I54" i="30" s="1"/>
  <c r="I27" i="30"/>
  <c r="I28" i="30" s="1"/>
  <c r="H28" i="30"/>
  <c r="I17" i="30"/>
  <c r="I25" i="30" s="1"/>
  <c r="H25" i="30"/>
  <c r="I11" i="42"/>
  <c r="I16" i="42" s="1"/>
  <c r="H16" i="42"/>
  <c r="I41" i="42"/>
  <c r="H41" i="42"/>
  <c r="H28" i="20"/>
  <c r="N32" i="109" s="1"/>
  <c r="G28" i="20"/>
  <c r="I8" i="20"/>
  <c r="I9" i="20" s="1"/>
  <c r="I26" i="20"/>
  <c r="M34" i="2"/>
  <c r="F34" i="115" s="1"/>
  <c r="G34" i="115" s="1"/>
  <c r="C28" i="20"/>
  <c r="H10" i="21"/>
  <c r="H39" i="21" s="1"/>
  <c r="C39" i="21"/>
  <c r="C43" i="48"/>
  <c r="C45" i="48" s="1"/>
  <c r="B75" i="109"/>
  <c r="C38" i="49"/>
  <c r="C40" i="49" s="1"/>
  <c r="G10" i="55"/>
  <c r="D10" i="55"/>
  <c r="F10" i="55" s="1"/>
  <c r="H10" i="55"/>
  <c r="H15" i="52"/>
  <c r="C22" i="52"/>
  <c r="C77" i="52" s="1"/>
  <c r="C79" i="52" s="1"/>
  <c r="L4" i="52"/>
  <c r="I9" i="52"/>
  <c r="I24" i="52"/>
  <c r="I30" i="52" s="1"/>
  <c r="H30" i="52"/>
  <c r="D11" i="55"/>
  <c r="F11" i="55" s="1"/>
  <c r="G11" i="55"/>
  <c r="H75" i="52"/>
  <c r="H77" i="52" s="1"/>
  <c r="I52" i="52"/>
  <c r="I75" i="52" s="1"/>
  <c r="I77" i="52" s="1"/>
  <c r="N79" i="2" s="1"/>
  <c r="I79" i="115" s="1"/>
  <c r="J79" i="115" s="1"/>
  <c r="H11" i="55"/>
  <c r="H20" i="53"/>
  <c r="H60" i="53"/>
  <c r="I20" i="53"/>
  <c r="H29" i="53"/>
  <c r="I24" i="53"/>
  <c r="I29" i="53" s="1"/>
  <c r="H8" i="53"/>
  <c r="I6" i="53"/>
  <c r="I8" i="53" s="1"/>
  <c r="I12" i="55" s="1"/>
  <c r="J31" i="56"/>
  <c r="G12" i="55"/>
  <c r="D12" i="55"/>
  <c r="F12" i="55" s="1"/>
  <c r="C62" i="53"/>
  <c r="C64" i="53" s="1"/>
  <c r="I36" i="53"/>
  <c r="I41" i="53" s="1"/>
  <c r="H41" i="53"/>
  <c r="D13" i="55"/>
  <c r="F13" i="55" s="1"/>
  <c r="K6" i="54"/>
  <c r="C41" i="54"/>
  <c r="C43" i="54" s="1"/>
  <c r="B79" i="109"/>
  <c r="K32" i="56"/>
  <c r="H13" i="55"/>
  <c r="H10" i="22"/>
  <c r="I22" i="22"/>
  <c r="I37" i="22" s="1"/>
  <c r="I39" i="22" s="1"/>
  <c r="N32" i="2" s="1"/>
  <c r="I32" i="115" s="1"/>
  <c r="J32" i="115" s="1"/>
  <c r="H37" i="22"/>
  <c r="H39" i="22" s="1"/>
  <c r="N30" i="109" s="1"/>
  <c r="C39" i="22"/>
  <c r="H23" i="14"/>
  <c r="I22" i="14"/>
  <c r="I23" i="14" s="1"/>
  <c r="I48" i="13"/>
  <c r="N16" i="2" s="1"/>
  <c r="I16" i="115" s="1"/>
  <c r="J16" i="115" s="1"/>
  <c r="H48" i="13"/>
  <c r="C48" i="13"/>
  <c r="I36" i="14"/>
  <c r="N13" i="2" s="1"/>
  <c r="I13" i="115" s="1"/>
  <c r="J13" i="115" s="1"/>
  <c r="H27" i="44"/>
  <c r="G50" i="44"/>
  <c r="H50" i="44"/>
  <c r="I41" i="44"/>
  <c r="I50" i="44" s="1"/>
  <c r="G5" i="55"/>
  <c r="D5" i="55"/>
  <c r="F5" i="55" s="1"/>
  <c r="J28" i="56"/>
  <c r="H19" i="44"/>
  <c r="I10" i="44"/>
  <c r="I19" i="44" s="1"/>
  <c r="H5" i="55"/>
  <c r="I18" i="11"/>
  <c r="I19" i="11" s="1"/>
  <c r="I31" i="11" s="1"/>
  <c r="N18" i="2" s="1"/>
  <c r="I18" i="115" s="1"/>
  <c r="J18" i="115" s="1"/>
  <c r="H29" i="11"/>
  <c r="C31" i="11"/>
  <c r="C39" i="111"/>
  <c r="I12" i="111"/>
  <c r="I16" i="111" s="1"/>
  <c r="I39" i="111" s="1"/>
  <c r="N14" i="2" s="1"/>
  <c r="I14" i="115" s="1"/>
  <c r="J14" i="115" s="1"/>
  <c r="H16" i="111"/>
  <c r="C40" i="110"/>
  <c r="H9" i="15"/>
  <c r="I4" i="15"/>
  <c r="I9" i="15" s="1"/>
  <c r="I39" i="15" s="1"/>
  <c r="C39" i="15"/>
  <c r="G39" i="15"/>
  <c r="H16" i="15"/>
  <c r="H34" i="104"/>
  <c r="I34" i="104"/>
  <c r="I11" i="104"/>
  <c r="H16" i="104"/>
  <c r="I16" i="104"/>
  <c r="I34" i="105"/>
  <c r="N10" i="2" s="1"/>
  <c r="I10" i="115" s="1"/>
  <c r="J10" i="115" s="1"/>
  <c r="I9" i="101"/>
  <c r="H14" i="17"/>
  <c r="I25" i="17"/>
  <c r="H25" i="17"/>
  <c r="G14" i="17"/>
  <c r="B5" i="2" s="1"/>
  <c r="G42" i="17"/>
  <c r="I5" i="2" s="1"/>
  <c r="C36" i="104"/>
  <c r="C34" i="105"/>
  <c r="C32" i="102"/>
  <c r="H32" i="102"/>
  <c r="C31" i="101"/>
  <c r="H29" i="101"/>
  <c r="G31" i="101"/>
  <c r="H16" i="101"/>
  <c r="I16" i="101"/>
  <c r="H9" i="101"/>
  <c r="J16" i="101"/>
  <c r="B31" i="16"/>
  <c r="H31" i="16"/>
  <c r="N6" i="2" s="1"/>
  <c r="I6" i="115" s="1"/>
  <c r="J6" i="115" s="1"/>
  <c r="G31" i="16"/>
  <c r="H21" i="103"/>
  <c r="B7" i="2"/>
  <c r="G21" i="103"/>
  <c r="C7" i="2" s="1"/>
  <c r="H24" i="103"/>
  <c r="I23" i="103"/>
  <c r="I24" i="103" s="1"/>
  <c r="H37" i="103"/>
  <c r="C39" i="103"/>
  <c r="O18" i="109"/>
  <c r="P18" i="109" s="1"/>
  <c r="H60" i="8"/>
  <c r="H31" i="8"/>
  <c r="I30" i="8"/>
  <c r="I31" i="8" s="1"/>
  <c r="I60" i="8"/>
  <c r="I10" i="18"/>
  <c r="I24" i="18" s="1"/>
  <c r="N4" i="2" s="1"/>
  <c r="H24" i="18"/>
  <c r="G56" i="30" l="1"/>
  <c r="G36" i="14"/>
  <c r="L13" i="2"/>
  <c r="B13" i="123" s="1"/>
  <c r="L13" i="123" s="1"/>
  <c r="C44" i="115"/>
  <c r="D44" i="115" s="1"/>
  <c r="L23" i="2"/>
  <c r="B23" i="123" s="1"/>
  <c r="L23" i="123" s="1"/>
  <c r="B40" i="116"/>
  <c r="D40" i="116" s="1"/>
  <c r="B40" i="123"/>
  <c r="L40" i="123" s="1"/>
  <c r="B47" i="116"/>
  <c r="D47" i="116" s="1"/>
  <c r="B47" i="123"/>
  <c r="L47" i="123" s="1"/>
  <c r="I63" i="8"/>
  <c r="L19" i="2"/>
  <c r="B19" i="116" s="1"/>
  <c r="D19" i="116" s="1"/>
  <c r="F20" i="67"/>
  <c r="F27" i="67" s="1"/>
  <c r="G18" i="67"/>
  <c r="G20" i="67" s="1"/>
  <c r="F20" i="65"/>
  <c r="F28" i="65" s="1"/>
  <c r="G18" i="65"/>
  <c r="G20" i="65" s="1"/>
  <c r="E36" i="46"/>
  <c r="E38" i="46" s="1"/>
  <c r="F23" i="81"/>
  <c r="F25" i="81" s="1"/>
  <c r="G22" i="81"/>
  <c r="G23" i="81" s="1"/>
  <c r="L6" i="2"/>
  <c r="B14" i="116"/>
  <c r="D14" i="116" s="1"/>
  <c r="B14" i="123"/>
  <c r="L14" i="123" s="1"/>
  <c r="F19" i="94"/>
  <c r="F25" i="94" s="1"/>
  <c r="G18" i="94"/>
  <c r="G19" i="94" s="1"/>
  <c r="F20" i="89"/>
  <c r="F28" i="89" s="1"/>
  <c r="G18" i="89"/>
  <c r="G20" i="89" s="1"/>
  <c r="B31" i="116"/>
  <c r="D31" i="116" s="1"/>
  <c r="B31" i="123"/>
  <c r="L31" i="123" s="1"/>
  <c r="I15" i="28"/>
  <c r="E31" i="38"/>
  <c r="F19" i="73"/>
  <c r="F21" i="73" s="1"/>
  <c r="G18" i="73"/>
  <c r="G19" i="73" s="1"/>
  <c r="F20" i="69"/>
  <c r="F26" i="69" s="1"/>
  <c r="G18" i="69"/>
  <c r="G20" i="69" s="1"/>
  <c r="F19" i="70"/>
  <c r="F26" i="70" s="1"/>
  <c r="G18" i="70"/>
  <c r="G19" i="70" s="1"/>
  <c r="F19" i="72"/>
  <c r="F21" i="72" s="1"/>
  <c r="G18" i="72"/>
  <c r="G19" i="72" s="1"/>
  <c r="F19" i="96"/>
  <c r="F26" i="96" s="1"/>
  <c r="G18" i="96"/>
  <c r="G19" i="96" s="1"/>
  <c r="H31" i="38"/>
  <c r="B41" i="116"/>
  <c r="D41" i="116" s="1"/>
  <c r="B41" i="123"/>
  <c r="L41" i="123" s="1"/>
  <c r="B16" i="116"/>
  <c r="D16" i="116" s="1"/>
  <c r="B16" i="123"/>
  <c r="L16" i="123" s="1"/>
  <c r="I37" i="2"/>
  <c r="G38" i="29"/>
  <c r="F19" i="74"/>
  <c r="F26" i="74" s="1"/>
  <c r="G18" i="74"/>
  <c r="G19" i="74" s="1"/>
  <c r="I15" i="103"/>
  <c r="F19" i="76"/>
  <c r="F26" i="76" s="1"/>
  <c r="G18" i="76"/>
  <c r="G19" i="76" s="1"/>
  <c r="F19" i="88"/>
  <c r="F25" i="88" s="1"/>
  <c r="G18" i="88"/>
  <c r="G19" i="88" s="1"/>
  <c r="H43" i="48"/>
  <c r="B34" i="116"/>
  <c r="D34" i="116" s="1"/>
  <c r="B34" i="123"/>
  <c r="L34" i="123" s="1"/>
  <c r="B39" i="106"/>
  <c r="B42" i="123"/>
  <c r="L42" i="123" s="1"/>
  <c r="I33" i="23"/>
  <c r="N31" i="2" s="1"/>
  <c r="I31" i="115" s="1"/>
  <c r="J31" i="115" s="1"/>
  <c r="F19" i="90"/>
  <c r="F25" i="90" s="1"/>
  <c r="G18" i="90"/>
  <c r="G19" i="90" s="1"/>
  <c r="F19" i="95"/>
  <c r="F28" i="95" s="1"/>
  <c r="G18" i="95"/>
  <c r="G19" i="95" s="1"/>
  <c r="I40" i="7"/>
  <c r="N21" i="2" s="1"/>
  <c r="I21" i="115" s="1"/>
  <c r="J21" i="115" s="1"/>
  <c r="F19" i="68"/>
  <c r="F21" i="68" s="1"/>
  <c r="G18" i="68"/>
  <c r="G19" i="68" s="1"/>
  <c r="F19" i="82"/>
  <c r="F26" i="82" s="1"/>
  <c r="G18" i="82"/>
  <c r="G19" i="82" s="1"/>
  <c r="B11" i="116"/>
  <c r="B11" i="123"/>
  <c r="L11" i="123" s="1"/>
  <c r="B22" i="116"/>
  <c r="D22" i="116" s="1"/>
  <c r="B22" i="123"/>
  <c r="L22" i="123" s="1"/>
  <c r="B36" i="116"/>
  <c r="D36" i="116" s="1"/>
  <c r="B36" i="123"/>
  <c r="L36" i="123" s="1"/>
  <c r="C59" i="115"/>
  <c r="D59" i="115" s="1"/>
  <c r="B33" i="116"/>
  <c r="D33" i="116" s="1"/>
  <c r="B33" i="123"/>
  <c r="L33" i="123" s="1"/>
  <c r="H36" i="14"/>
  <c r="M13" i="2" s="1"/>
  <c r="F13" i="115" s="1"/>
  <c r="G13" i="115" s="1"/>
  <c r="I23" i="94"/>
  <c r="I25" i="94" s="1"/>
  <c r="N70" i="2" s="1"/>
  <c r="H25" i="94"/>
  <c r="E64" i="53"/>
  <c r="E27" i="6"/>
  <c r="I36" i="104"/>
  <c r="N11" i="2" s="1"/>
  <c r="I11" i="115" s="1"/>
  <c r="J11" i="115" s="1"/>
  <c r="H63" i="8"/>
  <c r="L38" i="2"/>
  <c r="E52" i="44"/>
  <c r="E54" i="44" s="1"/>
  <c r="E49" i="45"/>
  <c r="B35" i="116"/>
  <c r="D35" i="116" s="1"/>
  <c r="B35" i="123"/>
  <c r="L35" i="123" s="1"/>
  <c r="B8" i="116"/>
  <c r="B8" i="123"/>
  <c r="L8" i="123" s="1"/>
  <c r="B25" i="116"/>
  <c r="D25" i="116" s="1"/>
  <c r="B25" i="123"/>
  <c r="L25" i="123" s="1"/>
  <c r="B20" i="2"/>
  <c r="G63" i="8"/>
  <c r="C6" i="117"/>
  <c r="D6" i="117" s="1"/>
  <c r="B82" i="123"/>
  <c r="L10" i="2"/>
  <c r="C10" i="115" s="1"/>
  <c r="D10" i="115" s="1"/>
  <c r="E35" i="9"/>
  <c r="H35" i="9"/>
  <c r="G35" i="9"/>
  <c r="B19" i="123" s="1"/>
  <c r="L19" i="123" s="1"/>
  <c r="L37" i="2"/>
  <c r="C37" i="115" s="1"/>
  <c r="D37" i="115" s="1"/>
  <c r="I30" i="25"/>
  <c r="N42" i="2" s="1"/>
  <c r="I42" i="115" s="1"/>
  <c r="J42" i="115" s="1"/>
  <c r="E33" i="26"/>
  <c r="I25" i="27"/>
  <c r="N40" i="2" s="1"/>
  <c r="I40" i="115" s="1"/>
  <c r="J40" i="115" s="1"/>
  <c r="I22" i="28"/>
  <c r="N38" i="2" s="1"/>
  <c r="I38" i="115" s="1"/>
  <c r="J38" i="115" s="1"/>
  <c r="I38" i="5"/>
  <c r="N23" i="2" s="1"/>
  <c r="I23" i="115" s="1"/>
  <c r="J23" i="115" s="1"/>
  <c r="H38" i="5"/>
  <c r="N21" i="109" s="1"/>
  <c r="L16" i="101"/>
  <c r="N43" i="2"/>
  <c r="I43" i="115" s="1"/>
  <c r="J43" i="115" s="1"/>
  <c r="G30" i="55"/>
  <c r="B99" i="116"/>
  <c r="B92" i="116"/>
  <c r="G36" i="61"/>
  <c r="B38" i="106"/>
  <c r="C21" i="115"/>
  <c r="D21" i="115" s="1"/>
  <c r="B21" i="116"/>
  <c r="D21" i="116" s="1"/>
  <c r="L20" i="2"/>
  <c r="I35" i="9"/>
  <c r="N19" i="2" s="1"/>
  <c r="I19" i="115" s="1"/>
  <c r="J19" i="115" s="1"/>
  <c r="B15" i="106"/>
  <c r="B17" i="116"/>
  <c r="D17" i="116" s="1"/>
  <c r="C17" i="115"/>
  <c r="D17" i="115" s="1"/>
  <c r="B13" i="116"/>
  <c r="D13" i="116" s="1"/>
  <c r="C14" i="115"/>
  <c r="D14" i="115" s="1"/>
  <c r="I44" i="17"/>
  <c r="N5" i="2" s="1"/>
  <c r="I5" i="115" s="1"/>
  <c r="J5" i="115" s="1"/>
  <c r="F60" i="2"/>
  <c r="L60" i="2" s="1"/>
  <c r="C60" i="115" s="1"/>
  <c r="D60" i="115" s="1"/>
  <c r="I31" i="44"/>
  <c r="I52" i="44" s="1"/>
  <c r="I30" i="55"/>
  <c r="H39" i="54"/>
  <c r="H41" i="54" s="1"/>
  <c r="I41" i="54"/>
  <c r="I62" i="53"/>
  <c r="C77" i="115"/>
  <c r="D77" i="115" s="1"/>
  <c r="G43" i="48"/>
  <c r="G45" i="48" s="1"/>
  <c r="C76" i="115"/>
  <c r="D76" i="115" s="1"/>
  <c r="B76" i="116"/>
  <c r="D76" i="116" s="1"/>
  <c r="N69" i="109"/>
  <c r="C67" i="115"/>
  <c r="D67" i="115" s="1"/>
  <c r="B67" i="116"/>
  <c r="D67" i="116" s="1"/>
  <c r="C62" i="115"/>
  <c r="D62" i="115" s="1"/>
  <c r="B62" i="116"/>
  <c r="D62" i="116" s="1"/>
  <c r="B41" i="106"/>
  <c r="B44" i="116"/>
  <c r="D44" i="116" s="1"/>
  <c r="C42" i="115"/>
  <c r="D42" i="115" s="1"/>
  <c r="B42" i="116"/>
  <c r="D42" i="116" s="1"/>
  <c r="H43" i="42"/>
  <c r="I39" i="21"/>
  <c r="L32" i="2"/>
  <c r="C27" i="2"/>
  <c r="L27" i="2" s="1"/>
  <c r="H34" i="60"/>
  <c r="I34" i="60"/>
  <c r="N26" i="2" s="1"/>
  <c r="I26" i="115" s="1"/>
  <c r="J26" i="115" s="1"/>
  <c r="I40" i="3"/>
  <c r="I33" i="4"/>
  <c r="N24" i="2" s="1"/>
  <c r="I24" i="115" s="1"/>
  <c r="J24" i="115" s="1"/>
  <c r="C12" i="115"/>
  <c r="D12" i="115" s="1"/>
  <c r="B12" i="116"/>
  <c r="D12" i="116" s="1"/>
  <c r="B12" i="106"/>
  <c r="H31" i="11"/>
  <c r="N16" i="109" s="1"/>
  <c r="N13" i="109"/>
  <c r="H39" i="15"/>
  <c r="N12" i="2" s="1"/>
  <c r="I12" i="115" s="1"/>
  <c r="J12" i="115" s="1"/>
  <c r="H36" i="104"/>
  <c r="N11" i="109" s="1"/>
  <c r="I39" i="103"/>
  <c r="N7" i="2" s="1"/>
  <c r="I7" i="115" s="1"/>
  <c r="J7" i="115" s="1"/>
  <c r="H44" i="17"/>
  <c r="N5" i="109" s="1"/>
  <c r="I43" i="42"/>
  <c r="N35" i="2" s="1"/>
  <c r="I35" i="115" s="1"/>
  <c r="J35" i="115" s="1"/>
  <c r="G43" i="42"/>
  <c r="M33" i="109"/>
  <c r="G39" i="22"/>
  <c r="H36" i="61"/>
  <c r="L7" i="2"/>
  <c r="C13" i="115"/>
  <c r="D13" i="115" s="1"/>
  <c r="G39" i="21"/>
  <c r="M55" i="2"/>
  <c r="F55" i="115" s="1"/>
  <c r="G55" i="115" s="1"/>
  <c r="G27" i="93"/>
  <c r="F71" i="2"/>
  <c r="L71" i="2" s="1"/>
  <c r="I46" i="45"/>
  <c r="N74" i="2" s="1"/>
  <c r="I74" i="115" s="1"/>
  <c r="J74" i="115" s="1"/>
  <c r="C74" i="2"/>
  <c r="C72" i="109" s="1"/>
  <c r="L72" i="109" s="1"/>
  <c r="G46" i="45"/>
  <c r="G49" i="45" s="1"/>
  <c r="B75" i="2"/>
  <c r="L75" i="2" s="1"/>
  <c r="B75" i="116" s="1"/>
  <c r="D75" i="116" s="1"/>
  <c r="G36" i="46"/>
  <c r="G38" i="46" s="1"/>
  <c r="G33" i="47"/>
  <c r="G35" i="47" s="1"/>
  <c r="J30" i="56"/>
  <c r="J42" i="56" s="1"/>
  <c r="J44" i="56" s="1"/>
  <c r="I78" i="2"/>
  <c r="I76" i="109" s="1"/>
  <c r="G38" i="49"/>
  <c r="G40" i="49" s="1"/>
  <c r="B76" i="109"/>
  <c r="I35" i="49"/>
  <c r="I36" i="49" s="1"/>
  <c r="I38" i="49" s="1"/>
  <c r="H36" i="49"/>
  <c r="H38" i="49" s="1"/>
  <c r="F79" i="2"/>
  <c r="F77" i="109" s="1"/>
  <c r="G77" i="52"/>
  <c r="G79" i="52" s="1"/>
  <c r="G62" i="53"/>
  <c r="G64" i="53" s="1"/>
  <c r="L80" i="2"/>
  <c r="B80" i="116" s="1"/>
  <c r="D80" i="116" s="1"/>
  <c r="I81" i="2"/>
  <c r="I79" i="109" s="1"/>
  <c r="L79" i="109" s="1"/>
  <c r="G41" i="54"/>
  <c r="G43" i="54" s="1"/>
  <c r="M39" i="109"/>
  <c r="H30" i="25"/>
  <c r="M41" i="2"/>
  <c r="F41" i="115" s="1"/>
  <c r="G41" i="115" s="1"/>
  <c r="M38" i="109"/>
  <c r="G38" i="112"/>
  <c r="L39" i="2"/>
  <c r="B39" i="123" s="1"/>
  <c r="L39" i="123" s="1"/>
  <c r="M37" i="109"/>
  <c r="H25" i="27"/>
  <c r="M40" i="2" s="1"/>
  <c r="F40" i="115" s="1"/>
  <c r="G40" i="115" s="1"/>
  <c r="M35" i="109"/>
  <c r="I56" i="30"/>
  <c r="N36" i="2" s="1"/>
  <c r="I36" i="115" s="1"/>
  <c r="J36" i="115" s="1"/>
  <c r="H56" i="30"/>
  <c r="M36" i="2" s="1"/>
  <c r="F36" i="115" s="1"/>
  <c r="G36" i="115" s="1"/>
  <c r="M32" i="109"/>
  <c r="I28" i="20"/>
  <c r="N34" i="2" s="1"/>
  <c r="I34" i="115" s="1"/>
  <c r="J34" i="115" s="1"/>
  <c r="G33" i="23"/>
  <c r="M25" i="109"/>
  <c r="M24" i="109"/>
  <c r="M22" i="109"/>
  <c r="H33" i="4"/>
  <c r="M21" i="109"/>
  <c r="M20" i="109"/>
  <c r="H40" i="7"/>
  <c r="M21" i="2" s="1"/>
  <c r="F21" i="115" s="1"/>
  <c r="G21" i="115" s="1"/>
  <c r="M40" i="109"/>
  <c r="F24" i="55"/>
  <c r="F30" i="55"/>
  <c r="M17" i="109"/>
  <c r="M18" i="2"/>
  <c r="F18" i="115" s="1"/>
  <c r="G18" i="115" s="1"/>
  <c r="H25" i="12"/>
  <c r="M14" i="109"/>
  <c r="C15" i="2"/>
  <c r="G40" i="110"/>
  <c r="G32" i="102"/>
  <c r="M9" i="109"/>
  <c r="L9" i="2"/>
  <c r="B9" i="123" s="1"/>
  <c r="L9" i="123" s="1"/>
  <c r="M11" i="2"/>
  <c r="F11" i="115" s="1"/>
  <c r="G11" i="115" s="1"/>
  <c r="M11" i="109"/>
  <c r="D11" i="116"/>
  <c r="H39" i="111"/>
  <c r="M14" i="2" s="1"/>
  <c r="F14" i="115" s="1"/>
  <c r="G14" i="115" s="1"/>
  <c r="N18" i="109"/>
  <c r="G24" i="18"/>
  <c r="B4" i="123" s="1"/>
  <c r="L4" i="123" s="1"/>
  <c r="I4" i="2"/>
  <c r="L4" i="2" s="1"/>
  <c r="B4" i="116" s="1"/>
  <c r="D4" i="116" s="1"/>
  <c r="G39" i="103"/>
  <c r="B7" i="123" s="1"/>
  <c r="M7" i="109"/>
  <c r="M30" i="109"/>
  <c r="M16" i="109"/>
  <c r="M8" i="109"/>
  <c r="D8" i="116"/>
  <c r="G52" i="44"/>
  <c r="G54" i="44" s="1"/>
  <c r="I73" i="2"/>
  <c r="I71" i="109" s="1"/>
  <c r="L71" i="109" s="1"/>
  <c r="B36" i="106"/>
  <c r="C38" i="115"/>
  <c r="D38" i="115" s="1"/>
  <c r="B29" i="106"/>
  <c r="C31" i="115"/>
  <c r="D31" i="115" s="1"/>
  <c r="G34" i="60"/>
  <c r="I26" i="2"/>
  <c r="L26" i="2" s="1"/>
  <c r="G33" i="4"/>
  <c r="I24" i="2"/>
  <c r="L24" i="2" s="1"/>
  <c r="B24" i="123" s="1"/>
  <c r="L24" i="123" s="1"/>
  <c r="C22" i="115"/>
  <c r="D22" i="115" s="1"/>
  <c r="B20" i="106"/>
  <c r="M10" i="109"/>
  <c r="M6" i="109"/>
  <c r="L5" i="2"/>
  <c r="M18" i="109"/>
  <c r="L75" i="109"/>
  <c r="P75" i="109" s="1"/>
  <c r="H27" i="6"/>
  <c r="H40" i="3"/>
  <c r="M28" i="2"/>
  <c r="F28" i="115" s="1"/>
  <c r="G28" i="115" s="1"/>
  <c r="H22" i="28"/>
  <c r="I38" i="112"/>
  <c r="N39" i="2" s="1"/>
  <c r="I39" i="115" s="1"/>
  <c r="J39" i="115" s="1"/>
  <c r="H26" i="78"/>
  <c r="B43" i="106"/>
  <c r="C46" i="115"/>
  <c r="D46" i="115" s="1"/>
  <c r="B42" i="106"/>
  <c r="C45" i="115"/>
  <c r="D45" i="115" s="1"/>
  <c r="M45" i="2"/>
  <c r="F45" i="115" s="1"/>
  <c r="G45" i="115" s="1"/>
  <c r="N42" i="109"/>
  <c r="M44" i="2"/>
  <c r="F44" i="115" s="1"/>
  <c r="G44" i="115" s="1"/>
  <c r="N41" i="109"/>
  <c r="B44" i="106"/>
  <c r="C47" i="115"/>
  <c r="D47" i="115" s="1"/>
  <c r="C40" i="115"/>
  <c r="D40" i="115" s="1"/>
  <c r="B37" i="106"/>
  <c r="N60" i="109"/>
  <c r="M62" i="2"/>
  <c r="F62" i="115" s="1"/>
  <c r="G62" i="115" s="1"/>
  <c r="H28" i="65"/>
  <c r="M54" i="2"/>
  <c r="F54" i="115" s="1"/>
  <c r="G54" i="115" s="1"/>
  <c r="N52" i="109"/>
  <c r="M51" i="2"/>
  <c r="F51" i="115" s="1"/>
  <c r="G51" i="115" s="1"/>
  <c r="N49" i="109"/>
  <c r="N45" i="109"/>
  <c r="M48" i="2"/>
  <c r="F48" i="115" s="1"/>
  <c r="G48" i="115" s="1"/>
  <c r="C48" i="115"/>
  <c r="D48" i="115" s="1"/>
  <c r="B45" i="106"/>
  <c r="M64" i="2"/>
  <c r="F64" i="115" s="1"/>
  <c r="G64" i="115" s="1"/>
  <c r="N62" i="109"/>
  <c r="N63" i="109"/>
  <c r="M65" i="2"/>
  <c r="F65" i="115" s="1"/>
  <c r="G65" i="115" s="1"/>
  <c r="N65" i="109"/>
  <c r="M67" i="2"/>
  <c r="F67" i="115" s="1"/>
  <c r="G67" i="115" s="1"/>
  <c r="N67" i="109"/>
  <c r="M69" i="2"/>
  <c r="F69" i="115" s="1"/>
  <c r="G69" i="115" s="1"/>
  <c r="M74" i="2"/>
  <c r="F74" i="115" s="1"/>
  <c r="G74" i="115" s="1"/>
  <c r="H49" i="45"/>
  <c r="I49" i="45"/>
  <c r="C38" i="46"/>
  <c r="I14" i="46"/>
  <c r="I18" i="46" s="1"/>
  <c r="I26" i="46" s="1"/>
  <c r="I36" i="46" s="1"/>
  <c r="H18" i="46"/>
  <c r="H26" i="46" s="1"/>
  <c r="H36" i="46" s="1"/>
  <c r="I8" i="55"/>
  <c r="G38" i="10" s="1"/>
  <c r="I35" i="47"/>
  <c r="H8" i="55"/>
  <c r="F38" i="10" s="1"/>
  <c r="K29" i="56"/>
  <c r="K30" i="56"/>
  <c r="M76" i="2"/>
  <c r="F76" i="115" s="1"/>
  <c r="G76" i="115" s="1"/>
  <c r="H35" i="47"/>
  <c r="M19" i="2"/>
  <c r="F19" i="115" s="1"/>
  <c r="G19" i="115" s="1"/>
  <c r="N17" i="109"/>
  <c r="B17" i="106"/>
  <c r="C19" i="115"/>
  <c r="D19" i="115" s="1"/>
  <c r="N29" i="109"/>
  <c r="M31" i="2"/>
  <c r="F31" i="115" s="1"/>
  <c r="G31" i="115" s="1"/>
  <c r="M26" i="2"/>
  <c r="F26" i="115" s="1"/>
  <c r="G26" i="115" s="1"/>
  <c r="N24" i="109"/>
  <c r="C25" i="115"/>
  <c r="D25" i="115" s="1"/>
  <c r="B23" i="106"/>
  <c r="M23" i="109"/>
  <c r="M25" i="2"/>
  <c r="F25" i="115" s="1"/>
  <c r="G25" i="115" s="1"/>
  <c r="B21" i="106"/>
  <c r="N35" i="109"/>
  <c r="M37" i="2"/>
  <c r="F37" i="115" s="1"/>
  <c r="G37" i="115" s="1"/>
  <c r="C36" i="115"/>
  <c r="D36" i="115" s="1"/>
  <c r="B34" i="106"/>
  <c r="C35" i="115"/>
  <c r="D35" i="115" s="1"/>
  <c r="B33" i="106"/>
  <c r="M35" i="2"/>
  <c r="F35" i="115" s="1"/>
  <c r="G35" i="115" s="1"/>
  <c r="N33" i="109"/>
  <c r="B32" i="106"/>
  <c r="C34" i="115"/>
  <c r="D34" i="115" s="1"/>
  <c r="N33" i="2"/>
  <c r="I33" i="115" s="1"/>
  <c r="J33" i="115" s="1"/>
  <c r="N31" i="109"/>
  <c r="M31" i="109"/>
  <c r="M33" i="2"/>
  <c r="F33" i="115" s="1"/>
  <c r="G33" i="115" s="1"/>
  <c r="M77" i="2"/>
  <c r="F77" i="115" s="1"/>
  <c r="G77" i="115" s="1"/>
  <c r="H45" i="48"/>
  <c r="N77" i="2"/>
  <c r="I77" i="115" s="1"/>
  <c r="J77" i="115" s="1"/>
  <c r="I45" i="48"/>
  <c r="M79" i="2"/>
  <c r="F79" i="115" s="1"/>
  <c r="G79" i="115" s="1"/>
  <c r="H79" i="52"/>
  <c r="B77" i="109"/>
  <c r="L77" i="109" s="1"/>
  <c r="I11" i="55"/>
  <c r="I79" i="52"/>
  <c r="H22" i="52"/>
  <c r="I15" i="52"/>
  <c r="I22" i="52" s="1"/>
  <c r="H12" i="55"/>
  <c r="K31" i="56"/>
  <c r="H62" i="53"/>
  <c r="M80" i="2" s="1"/>
  <c r="F80" i="115" s="1"/>
  <c r="G80" i="115" s="1"/>
  <c r="H64" i="53"/>
  <c r="N80" i="2"/>
  <c r="I64" i="53"/>
  <c r="C80" i="115"/>
  <c r="D80" i="115" s="1"/>
  <c r="B78" i="109"/>
  <c r="L78" i="109" s="1"/>
  <c r="P78" i="109" s="1"/>
  <c r="F15" i="55"/>
  <c r="F21" i="55" s="1"/>
  <c r="M81" i="2"/>
  <c r="F81" i="115" s="1"/>
  <c r="G81" i="115" s="1"/>
  <c r="H43" i="54"/>
  <c r="I43" i="54"/>
  <c r="N81" i="2"/>
  <c r="I81" i="115" s="1"/>
  <c r="J81" i="115" s="1"/>
  <c r="B31" i="106"/>
  <c r="C33" i="115"/>
  <c r="D33" i="115" s="1"/>
  <c r="M32" i="2"/>
  <c r="F32" i="115" s="1"/>
  <c r="G32" i="115" s="1"/>
  <c r="M16" i="2"/>
  <c r="F16" i="115" s="1"/>
  <c r="G16" i="115" s="1"/>
  <c r="N14" i="109"/>
  <c r="B14" i="106"/>
  <c r="C16" i="115"/>
  <c r="D16" i="115" s="1"/>
  <c r="H52" i="44"/>
  <c r="H54" i="44" s="1"/>
  <c r="B38" i="10"/>
  <c r="M12" i="109"/>
  <c r="M12" i="2"/>
  <c r="F12" i="115" s="1"/>
  <c r="G12" i="115" s="1"/>
  <c r="N12" i="109"/>
  <c r="G44" i="17"/>
  <c r="B5" i="123" s="1"/>
  <c r="B11" i="106"/>
  <c r="C11" i="115"/>
  <c r="D11" i="115" s="1"/>
  <c r="M10" i="2"/>
  <c r="F10" i="115" s="1"/>
  <c r="G10" i="115" s="1"/>
  <c r="N10" i="109"/>
  <c r="M9" i="2"/>
  <c r="F9" i="115" s="1"/>
  <c r="G9" i="115" s="1"/>
  <c r="N9" i="109"/>
  <c r="K16" i="101"/>
  <c r="I31" i="101"/>
  <c r="N8" i="2" s="1"/>
  <c r="I8" i="115" s="1"/>
  <c r="J8" i="115" s="1"/>
  <c r="H31" i="101"/>
  <c r="N8" i="109" s="1"/>
  <c r="N6" i="109"/>
  <c r="M6" i="2"/>
  <c r="F6" i="115" s="1"/>
  <c r="G6" i="115" s="1"/>
  <c r="B6" i="106"/>
  <c r="C6" i="115"/>
  <c r="D6" i="115" s="1"/>
  <c r="H39" i="103"/>
  <c r="M7" i="2" s="1"/>
  <c r="F7" i="115" s="1"/>
  <c r="G7" i="115" s="1"/>
  <c r="I24" i="55"/>
  <c r="B84" i="2"/>
  <c r="N20" i="2"/>
  <c r="I20" i="115" s="1"/>
  <c r="J20" i="115" s="1"/>
  <c r="N4" i="109"/>
  <c r="M4" i="2"/>
  <c r="I4" i="115"/>
  <c r="C23" i="115" l="1"/>
  <c r="D23" i="115" s="1"/>
  <c r="B23" i="116"/>
  <c r="D23" i="116" s="1"/>
  <c r="B13" i="106"/>
  <c r="L78" i="2"/>
  <c r="B78" i="116" s="1"/>
  <c r="D78" i="116" s="1"/>
  <c r="L76" i="109"/>
  <c r="P76" i="109" s="1"/>
  <c r="I54" i="44"/>
  <c r="N73" i="2"/>
  <c r="I73" i="115" s="1"/>
  <c r="J73" i="115" s="1"/>
  <c r="G21" i="68"/>
  <c r="F56" i="2"/>
  <c r="L56" i="2" s="1"/>
  <c r="G27" i="67"/>
  <c r="F57" i="2"/>
  <c r="L57" i="2" s="1"/>
  <c r="G26" i="69"/>
  <c r="F55" i="2"/>
  <c r="L55" i="2" s="1"/>
  <c r="G28" i="89"/>
  <c r="F65" i="2"/>
  <c r="L65" i="2" s="1"/>
  <c r="M70" i="2"/>
  <c r="F70" i="115" s="1"/>
  <c r="G70" i="115" s="1"/>
  <c r="N68" i="109"/>
  <c r="G26" i="74"/>
  <c r="F50" i="2"/>
  <c r="L50" i="2" s="1"/>
  <c r="B6" i="116"/>
  <c r="D6" i="116" s="1"/>
  <c r="B6" i="123"/>
  <c r="L6" i="123" s="1"/>
  <c r="I72" i="115"/>
  <c r="J72" i="115" s="1"/>
  <c r="I70" i="115"/>
  <c r="J70" i="115" s="1"/>
  <c r="G28" i="95"/>
  <c r="F69" i="2"/>
  <c r="L69" i="2" s="1"/>
  <c r="G26" i="96"/>
  <c r="F72" i="2"/>
  <c r="L72" i="2" s="1"/>
  <c r="B72" i="116" s="1"/>
  <c r="D72" i="116" s="1"/>
  <c r="G21" i="73"/>
  <c r="F51" i="2"/>
  <c r="G25" i="94"/>
  <c r="F70" i="2"/>
  <c r="L70" i="2" s="1"/>
  <c r="G25" i="81"/>
  <c r="I68" i="2"/>
  <c r="L68" i="2" s="1"/>
  <c r="B37" i="116"/>
  <c r="D37" i="116" s="1"/>
  <c r="B37" i="123"/>
  <c r="L37" i="123" s="1"/>
  <c r="B60" i="116"/>
  <c r="D60" i="116" s="1"/>
  <c r="B38" i="116"/>
  <c r="D38" i="116" s="1"/>
  <c r="B38" i="123"/>
  <c r="L38" i="123" s="1"/>
  <c r="F64" i="2"/>
  <c r="L64" i="2" s="1"/>
  <c r="G25" i="90"/>
  <c r="F66" i="2"/>
  <c r="L66" i="2" s="1"/>
  <c r="G25" i="88"/>
  <c r="F52" i="2"/>
  <c r="L52" i="2" s="1"/>
  <c r="G21" i="72"/>
  <c r="G26" i="82"/>
  <c r="F63" i="2"/>
  <c r="L63" i="2" s="1"/>
  <c r="F58" i="2"/>
  <c r="L58" i="2" s="1"/>
  <c r="G28" i="65"/>
  <c r="C38" i="10"/>
  <c r="C39" i="10" s="1"/>
  <c r="B39" i="10"/>
  <c r="B30" i="106"/>
  <c r="B32" i="123"/>
  <c r="L32" i="123" s="1"/>
  <c r="G26" i="76"/>
  <c r="F49" i="2"/>
  <c r="G26" i="70"/>
  <c r="F54" i="2"/>
  <c r="L54" i="2" s="1"/>
  <c r="B10" i="116"/>
  <c r="D10" i="116" s="1"/>
  <c r="B10" i="123"/>
  <c r="L10" i="123" s="1"/>
  <c r="B10" i="106"/>
  <c r="B27" i="116"/>
  <c r="D27" i="116" s="1"/>
  <c r="B27" i="123"/>
  <c r="L27" i="123" s="1"/>
  <c r="C26" i="115"/>
  <c r="D26" i="115" s="1"/>
  <c r="B26" i="123"/>
  <c r="L26" i="123" s="1"/>
  <c r="B18" i="106"/>
  <c r="B20" i="123"/>
  <c r="L20" i="123" s="1"/>
  <c r="L5" i="123"/>
  <c r="L15" i="2"/>
  <c r="C84" i="2"/>
  <c r="C3" i="117" s="1"/>
  <c r="D3" i="117" s="1"/>
  <c r="N19" i="109"/>
  <c r="B35" i="106"/>
  <c r="M23" i="2"/>
  <c r="F23" i="115" s="1"/>
  <c r="G23" i="115" s="1"/>
  <c r="M5" i="2"/>
  <c r="F5" i="115" s="1"/>
  <c r="G5" i="115" s="1"/>
  <c r="B20" i="116"/>
  <c r="D20" i="116" s="1"/>
  <c r="C20" i="115"/>
  <c r="D20" i="115" s="1"/>
  <c r="C27" i="115"/>
  <c r="D27" i="115" s="1"/>
  <c r="B25" i="106"/>
  <c r="C78" i="115"/>
  <c r="D78" i="115" s="1"/>
  <c r="I15" i="55"/>
  <c r="I21" i="55" s="1"/>
  <c r="C71" i="115"/>
  <c r="D71" i="115" s="1"/>
  <c r="B71" i="116"/>
  <c r="D71" i="116" s="1"/>
  <c r="C39" i="115"/>
  <c r="D39" i="115" s="1"/>
  <c r="B39" i="116"/>
  <c r="D39" i="116" s="1"/>
  <c r="N37" i="109"/>
  <c r="C32" i="115"/>
  <c r="D32" i="115" s="1"/>
  <c r="B32" i="116"/>
  <c r="D32" i="116" s="1"/>
  <c r="B24" i="106"/>
  <c r="B26" i="116"/>
  <c r="D26" i="116" s="1"/>
  <c r="B22" i="106"/>
  <c r="B24" i="116"/>
  <c r="D24" i="116" s="1"/>
  <c r="B9" i="106"/>
  <c r="B9" i="116"/>
  <c r="D9" i="116" s="1"/>
  <c r="C7" i="115"/>
  <c r="D7" i="115" s="1"/>
  <c r="B7" i="116"/>
  <c r="D7" i="116" s="1"/>
  <c r="C5" i="115"/>
  <c r="D5" i="115" s="1"/>
  <c r="B5" i="116"/>
  <c r="D5" i="116" s="1"/>
  <c r="C9" i="115"/>
  <c r="D9" i="115" s="1"/>
  <c r="N34" i="109"/>
  <c r="B5" i="106"/>
  <c r="M20" i="2"/>
  <c r="F20" i="115" s="1"/>
  <c r="G20" i="115" s="1"/>
  <c r="N25" i="109"/>
  <c r="M27" i="2"/>
  <c r="F27" i="115" s="1"/>
  <c r="G27" i="115" s="1"/>
  <c r="L74" i="2"/>
  <c r="H15" i="55"/>
  <c r="H21" i="55" s="1"/>
  <c r="M78" i="2"/>
  <c r="F78" i="115" s="1"/>
  <c r="G78" i="115" s="1"/>
  <c r="H40" i="49"/>
  <c r="N78" i="2"/>
  <c r="I78" i="115" s="1"/>
  <c r="J78" i="115" s="1"/>
  <c r="I40" i="49"/>
  <c r="L79" i="2"/>
  <c r="E38" i="10"/>
  <c r="E39" i="10" s="1"/>
  <c r="L81" i="2"/>
  <c r="N39" i="109"/>
  <c r="M42" i="2"/>
  <c r="F42" i="115" s="1"/>
  <c r="G42" i="115" s="1"/>
  <c r="N22" i="109"/>
  <c r="M24" i="2"/>
  <c r="F24" i="115" s="1"/>
  <c r="G24" i="115" s="1"/>
  <c r="M17" i="2"/>
  <c r="F17" i="115" s="1"/>
  <c r="G17" i="115" s="1"/>
  <c r="N15" i="109"/>
  <c r="B4" i="106"/>
  <c r="C4" i="115"/>
  <c r="D4" i="115" s="1"/>
  <c r="N7" i="109"/>
  <c r="L73" i="2"/>
  <c r="C24" i="115"/>
  <c r="D24" i="115" s="1"/>
  <c r="M43" i="2"/>
  <c r="F43" i="115" s="1"/>
  <c r="G43" i="115" s="1"/>
  <c r="N40" i="109"/>
  <c r="M22" i="2"/>
  <c r="F22" i="115" s="1"/>
  <c r="G22" i="115" s="1"/>
  <c r="N20" i="109"/>
  <c r="N25" i="2"/>
  <c r="I25" i="115" s="1"/>
  <c r="J25" i="115" s="1"/>
  <c r="N23" i="109"/>
  <c r="N36" i="109"/>
  <c r="M38" i="2"/>
  <c r="F38" i="115" s="1"/>
  <c r="G38" i="115" s="1"/>
  <c r="M47" i="2"/>
  <c r="F47" i="115" s="1"/>
  <c r="G47" i="115" s="1"/>
  <c r="N44" i="109"/>
  <c r="N56" i="109"/>
  <c r="M58" i="2"/>
  <c r="F58" i="115" s="1"/>
  <c r="G58" i="115" s="1"/>
  <c r="N75" i="2"/>
  <c r="I75" i="115" s="1"/>
  <c r="J75" i="115" s="1"/>
  <c r="I38" i="46"/>
  <c r="M75" i="2"/>
  <c r="F75" i="115" s="1"/>
  <c r="G75" i="115" s="1"/>
  <c r="H38" i="46"/>
  <c r="B73" i="109"/>
  <c r="L73" i="109" s="1"/>
  <c r="P73" i="109" s="1"/>
  <c r="C75" i="115"/>
  <c r="D75" i="115" s="1"/>
  <c r="K42" i="56"/>
  <c r="K44" i="56" s="1"/>
  <c r="M82" i="109"/>
  <c r="I80" i="115"/>
  <c r="J80" i="115" s="1"/>
  <c r="M73" i="2"/>
  <c r="F73" i="115" s="1"/>
  <c r="G73" i="115" s="1"/>
  <c r="M8" i="2"/>
  <c r="F8" i="115" s="1"/>
  <c r="G8" i="115" s="1"/>
  <c r="J4" i="115"/>
  <c r="F4" i="115"/>
  <c r="B8" i="106"/>
  <c r="C8" i="115"/>
  <c r="C15" i="115" l="1"/>
  <c r="D15" i="115" s="1"/>
  <c r="B15" i="123"/>
  <c r="L15" i="123" s="1"/>
  <c r="B52" i="116"/>
  <c r="D52" i="116" s="1"/>
  <c r="C52" i="115"/>
  <c r="D52" i="115" s="1"/>
  <c r="B50" i="106"/>
  <c r="B50" i="116"/>
  <c r="D50" i="116" s="1"/>
  <c r="B48" i="106"/>
  <c r="C50" i="115"/>
  <c r="D50" i="115" s="1"/>
  <c r="B55" i="116"/>
  <c r="D55" i="116" s="1"/>
  <c r="B53" i="106"/>
  <c r="C55" i="115"/>
  <c r="D55" i="115" s="1"/>
  <c r="B66" i="116"/>
  <c r="D66" i="116" s="1"/>
  <c r="C66" i="115"/>
  <c r="D66" i="115" s="1"/>
  <c r="C68" i="115"/>
  <c r="D68" i="115" s="1"/>
  <c r="B68" i="116"/>
  <c r="D68" i="116" s="1"/>
  <c r="B69" i="116"/>
  <c r="D69" i="116" s="1"/>
  <c r="C69" i="115"/>
  <c r="D69" i="115" s="1"/>
  <c r="C57" i="115"/>
  <c r="D57" i="115" s="1"/>
  <c r="B57" i="116"/>
  <c r="D57" i="116" s="1"/>
  <c r="C54" i="115"/>
  <c r="D54" i="115" s="1"/>
  <c r="B52" i="106"/>
  <c r="B54" i="116"/>
  <c r="D54" i="116" s="1"/>
  <c r="C58" i="115"/>
  <c r="D58" i="115" s="1"/>
  <c r="B58" i="116"/>
  <c r="D58" i="116" s="1"/>
  <c r="B64" i="116"/>
  <c r="D64" i="116" s="1"/>
  <c r="C64" i="115"/>
  <c r="D64" i="115" s="1"/>
  <c r="B70" i="116"/>
  <c r="D70" i="116" s="1"/>
  <c r="C72" i="115"/>
  <c r="D72" i="115" s="1"/>
  <c r="C70" i="115"/>
  <c r="D70" i="115" s="1"/>
  <c r="B56" i="116"/>
  <c r="D56" i="116" s="1"/>
  <c r="C56" i="115"/>
  <c r="D56" i="115" s="1"/>
  <c r="L49" i="2"/>
  <c r="F84" i="2"/>
  <c r="C9" i="117" s="1"/>
  <c r="D9" i="117" s="1"/>
  <c r="B63" i="116"/>
  <c r="D63" i="116" s="1"/>
  <c r="C63" i="115"/>
  <c r="D63" i="115" s="1"/>
  <c r="L51" i="2"/>
  <c r="I89" i="2"/>
  <c r="C87" i="2"/>
  <c r="C65" i="115"/>
  <c r="D65" i="115" s="1"/>
  <c r="B65" i="116"/>
  <c r="D65" i="116" s="1"/>
  <c r="B15" i="116"/>
  <c r="D15" i="116" s="1"/>
  <c r="G27" i="55"/>
  <c r="B96" i="116" s="1"/>
  <c r="G15" i="55"/>
  <c r="G21" i="55" s="1"/>
  <c r="B89" i="116" s="1"/>
  <c r="N84" i="2"/>
  <c r="G45" i="56" s="1"/>
  <c r="G46" i="56" s="1"/>
  <c r="C81" i="115"/>
  <c r="D81" i="115" s="1"/>
  <c r="B81" i="116"/>
  <c r="D81" i="116" s="1"/>
  <c r="C79" i="115"/>
  <c r="D79" i="115" s="1"/>
  <c r="B79" i="116"/>
  <c r="D79" i="116" s="1"/>
  <c r="I88" i="2"/>
  <c r="C74" i="115"/>
  <c r="D74" i="115" s="1"/>
  <c r="B74" i="116"/>
  <c r="D74" i="116" s="1"/>
  <c r="C73" i="115"/>
  <c r="D73" i="115" s="1"/>
  <c r="B73" i="116"/>
  <c r="D73" i="116" s="1"/>
  <c r="N82" i="109"/>
  <c r="I84" i="115"/>
  <c r="J84" i="115"/>
  <c r="O62" i="2"/>
  <c r="I28" i="55" s="1"/>
  <c r="I29" i="55" s="1"/>
  <c r="I31" i="55" s="1"/>
  <c r="O61" i="2"/>
  <c r="H28" i="55" s="1"/>
  <c r="H29" i="55" s="1"/>
  <c r="H31" i="55" s="1"/>
  <c r="M84" i="2"/>
  <c r="F45" i="56" s="1"/>
  <c r="F46" i="56" s="1"/>
  <c r="G4" i="115"/>
  <c r="G84" i="115" s="1"/>
  <c r="F84" i="115"/>
  <c r="D8" i="115"/>
  <c r="B49" i="116" l="1"/>
  <c r="D49" i="116" s="1"/>
  <c r="C49" i="115"/>
  <c r="D49" i="115" s="1"/>
  <c r="B46" i="106"/>
  <c r="B51" i="116"/>
  <c r="D51" i="116" s="1"/>
  <c r="C51" i="115"/>
  <c r="D51" i="115" s="1"/>
  <c r="B49" i="106"/>
  <c r="I90" i="2"/>
  <c r="K45" i="56"/>
  <c r="K46" i="56" s="1"/>
  <c r="I16" i="55"/>
  <c r="I22" i="55" s="1"/>
  <c r="I23" i="55" s="1"/>
  <c r="I25" i="55" s="1"/>
  <c r="J45" i="56"/>
  <c r="J46" i="56" s="1"/>
  <c r="H16" i="55"/>
  <c r="H17" i="55" s="1"/>
  <c r="I17" i="55" l="1"/>
  <c r="H22" i="55"/>
  <c r="H23" i="55" s="1"/>
  <c r="H25" i="55" s="1"/>
  <c r="O6" i="109"/>
  <c r="O82" i="109" s="1"/>
  <c r="P6" i="109" l="1"/>
  <c r="J38" i="38"/>
  <c r="K84" i="2" l="1"/>
  <c r="C13" i="117" s="1"/>
  <c r="D13" i="117" s="1"/>
  <c r="G26" i="38" l="1"/>
  <c r="G43" i="2" s="1"/>
  <c r="G84" i="2" s="1"/>
  <c r="C10" i="117" s="1"/>
  <c r="D10" i="117" l="1"/>
  <c r="G27" i="38"/>
  <c r="G31" i="38" s="1"/>
  <c r="D35" i="38" s="1"/>
  <c r="D36" i="38" s="1"/>
  <c r="I43" i="2" l="1"/>
  <c r="L43" i="2" l="1"/>
  <c r="C43" i="115" l="1"/>
  <c r="C43" i="123"/>
  <c r="B43" i="116"/>
  <c r="C40" i="106"/>
  <c r="C83" i="106" s="1"/>
  <c r="C87" i="106" s="1"/>
  <c r="D43" i="115"/>
  <c r="L43" i="123" l="1"/>
  <c r="C84" i="123"/>
  <c r="C88" i="123" s="1"/>
  <c r="D43" i="116"/>
  <c r="G28" i="11"/>
  <c r="G29" i="11" s="1"/>
  <c r="G31" i="11" s="1"/>
  <c r="F29" i="11"/>
  <c r="F31" i="11" s="1"/>
  <c r="I18" i="2" l="1"/>
  <c r="L18" i="2" l="1"/>
  <c r="I84" i="2"/>
  <c r="C11" i="117" s="1"/>
  <c r="D11" i="117" l="1"/>
  <c r="D14" i="117" s="1"/>
  <c r="C14" i="117"/>
  <c r="L84" i="2"/>
  <c r="O60" i="2"/>
  <c r="G28" i="55" s="1"/>
  <c r="C18" i="115"/>
  <c r="B16" i="106"/>
  <c r="B83" i="106" s="1"/>
  <c r="B18" i="123"/>
  <c r="B18" i="116"/>
  <c r="D18" i="116" l="1"/>
  <c r="D84" i="116" s="1"/>
  <c r="B84" i="116"/>
  <c r="B90" i="116" s="1"/>
  <c r="B91" i="116" s="1"/>
  <c r="B93" i="116" s="1"/>
  <c r="B87" i="106"/>
  <c r="H83" i="106"/>
  <c r="H87" i="106" s="1"/>
  <c r="G29" i="55"/>
  <c r="G31" i="55" s="1"/>
  <c r="B97" i="116"/>
  <c r="B98" i="116" s="1"/>
  <c r="B100" i="116" s="1"/>
  <c r="L18" i="123"/>
  <c r="B84" i="123"/>
  <c r="B88" i="123" s="1"/>
  <c r="C84" i="115"/>
  <c r="D18" i="115"/>
  <c r="D84" i="115" s="1"/>
  <c r="I45" i="56"/>
  <c r="I46" i="56" s="1"/>
  <c r="F28" i="55"/>
  <c r="F29" i="55" s="1"/>
  <c r="F31" i="55" s="1"/>
  <c r="G16" i="55"/>
  <c r="F89" i="2"/>
  <c r="F90" i="2" s="1"/>
  <c r="F16" i="55"/>
  <c r="F17" i="55" l="1"/>
  <c r="F22" i="55"/>
  <c r="F23" i="55" s="1"/>
  <c r="F25" i="55" s="1"/>
  <c r="G22" i="55"/>
  <c r="G25" i="55" s="1"/>
  <c r="G17" i="55"/>
  <c r="K84" i="123"/>
  <c r="L82" i="123"/>
  <c r="L84" i="123" s="1"/>
  <c r="P7" i="109"/>
  <c r="B38" i="112"/>
  <c r="B16" i="112"/>
  <c r="P74" i="109"/>
  <c r="P71" i="109"/>
  <c r="P39" i="109"/>
  <c r="B43" i="54"/>
  <c r="P33" i="109"/>
  <c r="B21" i="103"/>
  <c r="B39" i="103"/>
  <c r="O7" i="109"/>
  <c r="B79" i="52"/>
  <c r="P28" i="109"/>
  <c r="B49" i="45"/>
  <c r="B16" i="42"/>
  <c r="B43" i="42"/>
  <c r="O33" i="109"/>
  <c r="P36" i="109"/>
  <c r="B29" i="54"/>
  <c r="B41" i="54"/>
  <c r="O79" i="109"/>
  <c r="P79" i="109"/>
  <c r="B17" i="29"/>
  <c r="B38" i="29"/>
  <c r="O35" i="109"/>
  <c r="P35" i="109"/>
  <c r="B14" i="20"/>
  <c r="B28" i="20"/>
  <c r="O32" i="109"/>
  <c r="P32" i="109"/>
  <c r="B35" i="47"/>
  <c r="B26" i="47"/>
  <c r="B33" i="47"/>
  <c r="O74" i="109"/>
  <c r="B54" i="44"/>
  <c r="B27" i="44"/>
  <c r="B52" i="44"/>
  <c r="O71" i="109"/>
  <c r="B16" i="27"/>
  <c r="B25" i="27"/>
  <c r="O37" i="109"/>
  <c r="P37" i="109"/>
  <c r="B16" i="25"/>
  <c r="B30" i="25"/>
  <c r="O39" i="109"/>
  <c r="B26" i="45"/>
  <c r="B46" i="45"/>
  <c r="O72" i="109"/>
  <c r="P72" i="109"/>
  <c r="B16" i="26"/>
  <c r="B33" i="26"/>
  <c r="O38" i="109"/>
  <c r="P38" i="109"/>
  <c r="B30" i="52"/>
  <c r="B77" i="52"/>
  <c r="O77" i="109"/>
  <c r="P77" i="109"/>
  <c r="B25" i="30"/>
  <c r="B56" i="30"/>
  <c r="O34" i="109"/>
  <c r="P34" i="109"/>
  <c r="B17" i="21"/>
  <c r="B39" i="21"/>
  <c r="O31" i="109"/>
  <c r="P31" i="109"/>
  <c r="B19" i="24"/>
  <c r="B65" i="24"/>
  <c r="O28" i="109"/>
  <c r="B15" i="28"/>
  <c r="B22" i="28"/>
  <c r="O36" i="109"/>
</calcChain>
</file>

<file path=xl/comments1.xml><?xml version="1.0" encoding="utf-8"?>
<comments xmlns="http://schemas.openxmlformats.org/spreadsheetml/2006/main">
  <authors>
    <author>Hunadi T. Gositamang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Hunadi T. Gositamang:</t>
        </r>
        <r>
          <rPr>
            <sz val="9"/>
            <color indexed="81"/>
            <rFont val="Tahoma"/>
            <family val="2"/>
          </rPr>
          <t xml:space="preserve">
19 796 421</t>
        </r>
      </text>
    </comment>
  </commentList>
</comments>
</file>

<file path=xl/comments10.xml><?xml version="1.0" encoding="utf-8"?>
<comments xmlns="http://schemas.openxmlformats.org/spreadsheetml/2006/main">
  <authors>
    <author>Tshepo Mogano</author>
  </authors>
  <commentList>
    <comment ref="C35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original budget - no IDP
</t>
        </r>
      </text>
    </comment>
  </commentList>
</comments>
</file>

<file path=xl/comments11.xml><?xml version="1.0" encoding="utf-8"?>
<comments xmlns="http://schemas.openxmlformats.org/spreadsheetml/2006/main">
  <authors>
    <author>Tshepo Mogano</author>
  </authors>
  <commentList>
    <comment ref="F15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COMMENTS OF BUDGET 
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Change and is not going to be used 
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EPWP should be paid from this vote lets check where are they paid from ?
Reduced the EPWP and increase Salaries Community Services</t>
        </r>
      </text>
    </comment>
  </commentList>
</comments>
</file>

<file path=xl/comments12.xml><?xml version="1.0" encoding="utf-8"?>
<comments xmlns="http://schemas.openxmlformats.org/spreadsheetml/2006/main">
  <authors>
    <author>Tshepo Mogano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Re
duction suggested 
</t>
        </r>
      </text>
    </comment>
  </commentList>
</comments>
</file>

<file path=xl/comments13.xml><?xml version="1.0" encoding="utf-8"?>
<comments xmlns="http://schemas.openxmlformats.org/spreadsheetml/2006/main">
  <authors>
    <author>Ruth Pootona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R250 000</t>
        </r>
      </text>
    </comment>
  </commentList>
</comments>
</file>

<file path=xl/comments14.xml><?xml version="1.0" encoding="utf-8"?>
<comments xmlns="http://schemas.openxmlformats.org/spreadsheetml/2006/main">
  <authors>
    <author>Tshepo Mogano</author>
  </authors>
  <commentList>
    <comment ref="F4" authorId="0" shapeId="0">
      <text>
        <r>
          <rPr>
            <b/>
            <sz val="9"/>
            <color rgb="FF000000"/>
            <rFont val="Tahoma"/>
            <family val="2"/>
          </rPr>
          <t>Tshepo Mogano: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Arnomally 
</t>
        </r>
        <r>
          <rPr>
            <sz val="9"/>
            <color rgb="FF000000"/>
            <rFont val="Tahoma"/>
            <family val="2"/>
          </rPr>
          <t xml:space="preserve">source of funding
</t>
        </r>
        <r>
          <rPr>
            <sz val="9"/>
            <color rgb="FF000000"/>
            <rFont val="Tahoma"/>
            <family val="2"/>
          </rPr>
          <t xml:space="preserve">is this true /please assist with the figures the R 16 million is too much 
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source of funding
</t>
        </r>
      </text>
    </comment>
  </commentList>
</comments>
</file>

<file path=xl/comments15.xml><?xml version="1.0" encoding="utf-8"?>
<comments xmlns="http://schemas.openxmlformats.org/spreadsheetml/2006/main">
  <authors>
    <author>Tshepo Mogano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 xml:space="preserve">Tshepo 
why is it here not under capital budget 
</t>
        </r>
      </text>
    </comment>
  </commentList>
</comments>
</file>

<file path=xl/comments16.xml><?xml version="1.0" encoding="utf-8"?>
<comments xmlns="http://schemas.openxmlformats.org/spreadsheetml/2006/main">
  <authors>
    <author>Tshepo Mogano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not registered 
</t>
        </r>
      </text>
    </comment>
  </commentList>
</comments>
</file>

<file path=xl/comments17.xml><?xml version="1.0" encoding="utf-8"?>
<comments xmlns="http://schemas.openxmlformats.org/spreadsheetml/2006/main">
  <authors>
    <author>Ruth Pootona</author>
  </authors>
  <commentList>
    <comment ref="B55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R0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 by 1050m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R0</t>
        </r>
      </text>
    </comment>
  </commentList>
</comments>
</file>

<file path=xl/comments18.xml><?xml version="1.0" encoding="utf-8"?>
<comments xmlns="http://schemas.openxmlformats.org/spreadsheetml/2006/main">
  <authors>
    <author>Ruth Pootona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move 1050000 from disposal of dead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remove it from 1400000 budget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remove from 1400000 budget</t>
        </r>
      </text>
    </comment>
  </commentList>
</comments>
</file>

<file path=xl/comments19.xml><?xml version="1.0" encoding="utf-8"?>
<comments xmlns="http://schemas.openxmlformats.org/spreadsheetml/2006/main">
  <authors>
    <author>Tshepo Mogano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>Tshepo Mogano:</t>
        </r>
        <r>
          <rPr>
            <sz val="9"/>
            <color indexed="81"/>
            <rFont val="Tahoma"/>
            <family val="2"/>
          </rPr>
          <t xml:space="preserve">
more increase Mr Mahai will provide information
</t>
        </r>
      </text>
    </comment>
  </commentList>
</comments>
</file>

<file path=xl/comments2.xml><?xml version="1.0" encoding="utf-8"?>
<comments xmlns="http://schemas.openxmlformats.org/spreadsheetml/2006/main">
  <authors>
    <author>Tshepo Mogano</author>
    <author>Ruth Pootona</author>
  </authors>
  <commentList>
    <comment ref="F30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PSIRA rates need to factored in annually.
</t>
        </r>
      </text>
    </comment>
    <comment ref="B31" authorId="1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1200000</t>
        </r>
      </text>
    </comment>
  </commentList>
</comments>
</file>

<file path=xl/comments20.xml><?xml version="1.0" encoding="utf-8"?>
<comments xmlns="http://schemas.openxmlformats.org/spreadsheetml/2006/main">
  <authors>
    <author>Tshepo Mogano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Tshepo Mogano:</t>
        </r>
        <r>
          <rPr>
            <sz val="9"/>
            <color indexed="81"/>
            <rFont val="Tahoma"/>
            <family val="2"/>
          </rPr>
          <t xml:space="preserve">
why such huge amount ask Ruth TO EXPLAIN</t>
        </r>
      </text>
    </comment>
  </commentList>
</comments>
</file>

<file path=xl/comments21.xml><?xml version="1.0" encoding="utf-8"?>
<comments xmlns="http://schemas.openxmlformats.org/spreadsheetml/2006/main">
  <authors>
    <author>Ruth Pootona</author>
  </authors>
  <commentList>
    <comment ref="C10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move it to the other fire bridgate 
</t>
        </r>
      </text>
    </comment>
  </commentList>
</comments>
</file>

<file path=xl/comments22.xml><?xml version="1.0" encoding="utf-8"?>
<comments xmlns="http://schemas.openxmlformats.org/spreadsheetml/2006/main">
  <authors>
    <author>Ruth Pootona</author>
  </authors>
  <commentList>
    <comment ref="C7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move to other line</t>
        </r>
      </text>
    </comment>
  </commentList>
</comments>
</file>

<file path=xl/comments23.xml><?xml version="1.0" encoding="utf-8"?>
<comments xmlns="http://schemas.openxmlformats.org/spreadsheetml/2006/main">
  <authors>
    <author>Ruth Pootona</author>
  </authors>
  <commentList>
    <comment ref="A11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move to fire special allowance</t>
        </r>
      </text>
    </comment>
  </commentList>
</comments>
</file>

<file path=xl/comments24.xml><?xml version="1.0" encoding="utf-8"?>
<comments xmlns="http://schemas.openxmlformats.org/spreadsheetml/2006/main">
  <authors>
    <author>Ruth Pootona</author>
  </authors>
  <commentList>
    <comment ref="A8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move to housing benefit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move to fire bridgate</t>
        </r>
      </text>
    </comment>
  </commentList>
</comments>
</file>

<file path=xl/comments25.xml><?xml version="1.0" encoding="utf-8"?>
<comments xmlns="http://schemas.openxmlformats.org/spreadsheetml/2006/main">
  <authors>
    <author>Tshepo Mogano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Tshepo Mogano:</t>
        </r>
        <r>
          <rPr>
            <sz val="9"/>
            <color indexed="81"/>
            <rFont val="Tahoma"/>
            <family val="2"/>
          </rPr>
          <t xml:space="preserve">
LINK THEM TO ORIGINAL ONES 
</t>
        </r>
      </text>
    </comment>
  </commentList>
</comments>
</file>

<file path=xl/comments26.xml><?xml version="1.0" encoding="utf-8"?>
<comments xmlns="http://schemas.openxmlformats.org/spreadsheetml/2006/main">
  <authors>
    <author>Ruth Pootona</author>
  </authors>
  <commentList>
    <comment ref="A30" authorId="0" shapeId="0">
      <text>
        <r>
          <rPr>
            <b/>
            <sz val="9"/>
            <color rgb="FF000000"/>
            <rFont val="Tahoma"/>
            <family val="2"/>
          </rPr>
          <t>Ruth Pootona: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was 850 000</t>
        </r>
      </text>
    </comment>
  </commentList>
</comments>
</file>

<file path=xl/comments27.xml><?xml version="1.0" encoding="utf-8"?>
<comments xmlns="http://schemas.openxmlformats.org/spreadsheetml/2006/main">
  <authors>
    <author>Ruth Pootona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R3m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rrduced by R 500000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R0</t>
        </r>
      </text>
    </comment>
  </commentList>
</comments>
</file>

<file path=xl/comments28.xml><?xml version="1.0" encoding="utf-8"?>
<comments xmlns="http://schemas.openxmlformats.org/spreadsheetml/2006/main">
  <authors>
    <author>Ruth Pootona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munsoft appointed for R13m for 3 years. Reduced by R2.5m</t>
        </r>
      </text>
    </comment>
  </commentList>
</comments>
</file>

<file path=xl/comments29.xml><?xml version="1.0" encoding="utf-8"?>
<comments xmlns="http://schemas.openxmlformats.org/spreadsheetml/2006/main">
  <authors>
    <author>Ruth Pootona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R800 000</t>
        </r>
      </text>
    </comment>
  </commentList>
</comments>
</file>

<file path=xl/comments3.xml><?xml version="1.0" encoding="utf-8"?>
<comments xmlns="http://schemas.openxmlformats.org/spreadsheetml/2006/main">
  <authors>
    <author>Ruth Pootona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R2m</t>
        </r>
      </text>
    </comment>
  </commentList>
</comments>
</file>

<file path=xl/comments30.xml><?xml version="1.0" encoding="utf-8"?>
<comments xmlns="http://schemas.openxmlformats.org/spreadsheetml/2006/main">
  <authors>
    <author>Ruth Pootona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R400 000</t>
        </r>
      </text>
    </comment>
  </commentList>
</comments>
</file>

<file path=xl/comments31.xml><?xml version="1.0" encoding="utf-8"?>
<comments xmlns="http://schemas.openxmlformats.org/spreadsheetml/2006/main">
  <authors>
    <author>Ruth Pootona</author>
  </authors>
  <commentList>
    <comment ref="D4" authorId="0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check if the allowance of chief whip is ot tapping from this vote</t>
        </r>
      </text>
    </comment>
  </commentList>
</comments>
</file>

<file path=xl/comments32.xml><?xml version="1.0" encoding="utf-8"?>
<comments xmlns="http://schemas.openxmlformats.org/spreadsheetml/2006/main">
  <authors>
    <author>Ruth Pootona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0 from 9794993</t>
        </r>
      </text>
    </comment>
  </commentList>
</comments>
</file>

<file path=xl/comments33.xml><?xml version="1.0" encoding="utf-8"?>
<comments xmlns="http://schemas.openxmlformats.org/spreadsheetml/2006/main">
  <authors>
    <author>Ruth Pootona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to o from 3772095
</t>
        </r>
      </text>
    </comment>
  </commentList>
</comments>
</file>

<file path=xl/comments34.xml><?xml version="1.0" encoding="utf-8"?>
<comments xmlns="http://schemas.openxmlformats.org/spreadsheetml/2006/main">
  <authors>
    <author>Ruth Pootona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400000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400000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500000
</t>
        </r>
      </text>
    </comment>
  </commentList>
</comments>
</file>

<file path=xl/comments35.xml><?xml version="1.0" encoding="utf-8"?>
<comments xmlns="http://schemas.openxmlformats.org/spreadsheetml/2006/main">
  <authors>
    <author>Ruth Pootona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5000000</t>
        </r>
      </text>
    </comment>
  </commentList>
</comments>
</file>

<file path=xl/comments36.xml><?xml version="1.0" encoding="utf-8"?>
<comments xmlns="http://schemas.openxmlformats.org/spreadsheetml/2006/main">
  <authors>
    <author>Ruth Pootona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5000000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4000000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 d by 1m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4000000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 by 3m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2000000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6000000</t>
        </r>
      </text>
    </comment>
  </commentList>
</comments>
</file>

<file path=xl/comments37.xml><?xml version="1.0" encoding="utf-8"?>
<comments xmlns="http://schemas.openxmlformats.org/spreadsheetml/2006/main">
  <authors>
    <author>Ruth Pootona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2000000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
</t>
        </r>
      </text>
    </comment>
  </commentList>
</comments>
</file>

<file path=xl/comments38.xml><?xml version="1.0" encoding="utf-8"?>
<comments xmlns="http://schemas.openxmlformats.org/spreadsheetml/2006/main">
  <authors>
    <author>Ruth Pootona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1000000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530000.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400000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370000</t>
        </r>
      </text>
    </comment>
  </commentList>
</comments>
</file>

<file path=xl/comments39.xml><?xml version="1.0" encoding="utf-8"?>
<comments xmlns="http://schemas.openxmlformats.org/spreadsheetml/2006/main">
  <authors>
    <author>Ruth Pootona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reded fro 700 to 0</t>
        </r>
      </text>
    </comment>
  </commentList>
</comments>
</file>

<file path=xl/comments4.xml><?xml version="1.0" encoding="utf-8"?>
<comments xmlns="http://schemas.openxmlformats.org/spreadsheetml/2006/main">
  <authors>
    <author>Tshepo Mogano</author>
  </authors>
  <commentList>
    <comment ref="E22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reduce the amount add to budget for audit committee
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Unauthosired expenditure 
</t>
        </r>
      </text>
    </comment>
  </commentList>
</comments>
</file>

<file path=xl/comments40.xml><?xml version="1.0" encoding="utf-8"?>
<comments xmlns="http://schemas.openxmlformats.org/spreadsheetml/2006/main">
  <authors>
    <author>Ruth MR. Pootona</author>
    <author>Pootonamr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Ruth MR. Pootona:</t>
        </r>
        <r>
          <rPr>
            <sz val="9"/>
            <color indexed="81"/>
            <rFont val="Tahoma"/>
            <family val="2"/>
          </rPr>
          <t xml:space="preserve">
page 249 of the Dora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</rPr>
          <t>Pootonamr:</t>
        </r>
        <r>
          <rPr>
            <sz val="9"/>
            <color indexed="81"/>
            <rFont val="Tahoma"/>
            <family val="2"/>
          </rPr>
          <t xml:space="preserve">
Page 222  of Dora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Pootonamr:</t>
        </r>
        <r>
          <rPr>
            <sz val="9"/>
            <color indexed="81"/>
            <rFont val="Tahoma"/>
            <family val="2"/>
          </rPr>
          <t xml:space="preserve">
Page 221 of Dora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Pootonamr:</t>
        </r>
        <r>
          <rPr>
            <sz val="9"/>
            <color indexed="81"/>
            <rFont val="Tahoma"/>
            <family val="2"/>
          </rPr>
          <t xml:space="preserve">
page 231 of Dora. Breakdown per municipality on page 262.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Pootonamr:</t>
        </r>
        <r>
          <rPr>
            <sz val="9"/>
            <color indexed="81"/>
            <rFont val="Tahoma"/>
            <family val="2"/>
          </rPr>
          <t xml:space="preserve">
Page 260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Ruth MR. Pootona:</t>
        </r>
        <r>
          <rPr>
            <sz val="9"/>
            <color indexed="81"/>
            <rFont val="Tahoma"/>
            <family val="2"/>
          </rPr>
          <t xml:space="preserve">
Page 260 of DORA. </t>
        </r>
      </text>
    </comment>
  </commentList>
</comments>
</file>

<file path=xl/comments5.xml><?xml version="1.0" encoding="utf-8"?>
<comments xmlns="http://schemas.openxmlformats.org/spreadsheetml/2006/main">
  <authors>
    <author>Ruth Pootona</author>
    <author>Tshepo Mogano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reduded by R1m</t>
        </r>
      </text>
    </comment>
    <comment ref="F28" authorId="1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Tshepo Mogano</author>
    <author>Ruth Pootona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Funding ?
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R1.5</t>
        </r>
      </text>
    </comment>
    <comment ref="F24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Funding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</rPr>
          <t>Ruth Pootona:</t>
        </r>
        <r>
          <rPr>
            <sz val="9"/>
            <color indexed="81"/>
            <rFont val="Tahoma"/>
            <family val="2"/>
          </rPr>
          <t xml:space="preserve">
reduced by R500 000</t>
        </r>
      </text>
    </comment>
  </commentList>
</comments>
</file>

<file path=xl/comments7.xml><?xml version="1.0" encoding="utf-8"?>
<comments xmlns="http://schemas.openxmlformats.org/spreadsheetml/2006/main">
  <authors>
    <author>Tshepo Mogano</author>
  </authors>
  <commentList>
    <comment ref="F31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no source of funding
</t>
        </r>
      </text>
    </comment>
  </commentList>
</comments>
</file>

<file path=xl/comments8.xml><?xml version="1.0" encoding="utf-8"?>
<comments xmlns="http://schemas.openxmlformats.org/spreadsheetml/2006/main">
  <authors>
    <author>Tshepo Mogano</author>
    <author>Ruth Pootona</author>
    <author>Ruth MR. Pootona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Tshepo Mogano:</t>
        </r>
        <r>
          <rPr>
            <sz val="9"/>
            <color indexed="81"/>
            <rFont val="Tahoma"/>
            <charset val="1"/>
          </rPr>
          <t xml:space="preserve">
funding </t>
        </r>
      </text>
    </comment>
    <comment ref="D8" authorId="1" shapeId="0">
      <text>
        <r>
          <rPr>
            <b/>
            <sz val="9"/>
            <color indexed="81"/>
            <rFont val="Tahoma"/>
            <charset val="1"/>
          </rPr>
          <t>Ruth Pootona:</t>
        </r>
        <r>
          <rPr>
            <sz val="9"/>
            <color indexed="81"/>
            <rFont val="Tahoma"/>
            <charset val="1"/>
          </rPr>
          <t xml:space="preserve">
remove budget from car to motor vehicle</t>
        </r>
      </text>
    </comment>
    <comment ref="A26" authorId="2" shapeId="0">
      <text>
        <r>
          <rPr>
            <b/>
            <sz val="9"/>
            <color indexed="81"/>
            <rFont val="Tahoma"/>
            <family val="2"/>
          </rPr>
          <t>Ruth MR. Pootona:</t>
        </r>
        <r>
          <rPr>
            <sz val="9"/>
            <color indexed="81"/>
            <rFont val="Tahoma"/>
            <family val="2"/>
          </rPr>
          <t xml:space="preserve">
Moved to PMU as per the MIG business plan</t>
        </r>
      </text>
    </comment>
  </commentList>
</comments>
</file>

<file path=xl/comments9.xml><?xml version="1.0" encoding="utf-8"?>
<comments xmlns="http://schemas.openxmlformats.org/spreadsheetml/2006/main">
  <authors>
    <author>Ruth MR. Pootona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Ruth MR. Pootona:</t>
        </r>
        <r>
          <rPr>
            <sz val="9"/>
            <color indexed="81"/>
            <rFont val="Tahoma"/>
            <family val="2"/>
          </rPr>
          <t xml:space="preserve">
Moved to PMU as per the MIG business plan</t>
        </r>
      </text>
    </comment>
  </commentList>
</comments>
</file>

<file path=xl/sharedStrings.xml><?xml version="1.0" encoding="utf-8"?>
<sst xmlns="http://schemas.openxmlformats.org/spreadsheetml/2006/main" count="3806" uniqueCount="918">
  <si>
    <t>Entertainment</t>
  </si>
  <si>
    <t>Subsistence &amp; Trav</t>
  </si>
  <si>
    <t>Salaries and Wages</t>
  </si>
  <si>
    <t>Annual Bonus</t>
  </si>
  <si>
    <t>Housing Subsidy</t>
  </si>
  <si>
    <t>Car Allowances</t>
  </si>
  <si>
    <t>Medical Aid</t>
  </si>
  <si>
    <t>Uif</t>
  </si>
  <si>
    <t>Pension / Providen</t>
  </si>
  <si>
    <t>Skills Development</t>
  </si>
  <si>
    <t>Telephone</t>
  </si>
  <si>
    <t>Equitable Shares</t>
  </si>
  <si>
    <t>LGW SETA</t>
  </si>
  <si>
    <t>Tender Documents</t>
  </si>
  <si>
    <t>Donations</t>
  </si>
  <si>
    <t>Insurance Claims</t>
  </si>
  <si>
    <t>Mayors Charity cup</t>
  </si>
  <si>
    <t>Overtime</t>
  </si>
  <si>
    <t>Computers</t>
  </si>
  <si>
    <t>Printers</t>
  </si>
  <si>
    <t>Vehicles</t>
  </si>
  <si>
    <t>Computer Services</t>
  </si>
  <si>
    <t>Bank Charges</t>
  </si>
  <si>
    <t>Interest Paid</t>
  </si>
  <si>
    <t>Fuel</t>
  </si>
  <si>
    <t>Insurance</t>
  </si>
  <si>
    <t>Membership Fees</t>
  </si>
  <si>
    <t>SALGA Levies</t>
  </si>
  <si>
    <t>Furniture</t>
  </si>
  <si>
    <t>Indigenous Games</t>
  </si>
  <si>
    <t>Special Allowance</t>
  </si>
  <si>
    <t>Equipment</t>
  </si>
  <si>
    <t>Garden Services</t>
  </si>
  <si>
    <t>Buildings</t>
  </si>
  <si>
    <t>Training Programme</t>
  </si>
  <si>
    <t>Security Services</t>
  </si>
  <si>
    <t>Legal Expenses</t>
  </si>
  <si>
    <t>Excellence Award</t>
  </si>
  <si>
    <t>Youth Month</t>
  </si>
  <si>
    <t>DESCRIPTION</t>
  </si>
  <si>
    <t>Employee Related Costs - Wages and Salaries</t>
  </si>
  <si>
    <t>Employee Related Costs - Social Contributions</t>
  </si>
  <si>
    <t>General Expenses Other</t>
  </si>
  <si>
    <t>Repairs and Maintenance</t>
  </si>
  <si>
    <t>Total per Department</t>
  </si>
  <si>
    <t>Infrastructure</t>
  </si>
  <si>
    <t>DEPARTMENTAL TOTAL</t>
  </si>
  <si>
    <t>VOTES</t>
  </si>
  <si>
    <t>Departmental Total</t>
  </si>
  <si>
    <t>WATER SERVICES 055</t>
  </si>
  <si>
    <t>COUNCIL REMUNERATION</t>
  </si>
  <si>
    <t>Subsistence &amp; Travelling</t>
  </si>
  <si>
    <t>Childrens Rights Day</t>
  </si>
  <si>
    <t>Pension / Provident</t>
  </si>
  <si>
    <t>Conferences &amp; Congress</t>
  </si>
  <si>
    <t>16 Days of Activism</t>
  </si>
  <si>
    <t>Local House of Traditional</t>
  </si>
  <si>
    <t>Stores and Materials</t>
  </si>
  <si>
    <t>Staff Accommodation</t>
  </si>
  <si>
    <t>Stores and Material</t>
  </si>
  <si>
    <t>Subsistence &amp; Travel</t>
  </si>
  <si>
    <t>Advertising and Marketing</t>
  </si>
  <si>
    <t>Conference &amp; Congress</t>
  </si>
  <si>
    <t>Licences : Vehicles</t>
  </si>
  <si>
    <t>Auditors Remuneration</t>
  </si>
  <si>
    <t>Fire Services Charges</t>
  </si>
  <si>
    <t>Interest Earned - External Investments</t>
  </si>
  <si>
    <t>Operating Grants and Subsidies</t>
  </si>
  <si>
    <t>Other Revenue</t>
  </si>
  <si>
    <t>Contracted Services</t>
  </si>
  <si>
    <t>Salaries-Councillors</t>
  </si>
  <si>
    <t>Cell Phone Allowance</t>
  </si>
  <si>
    <t>Locomotive Allowance</t>
  </si>
  <si>
    <t>Interest on Call Account</t>
  </si>
  <si>
    <t>Interest on Current Account</t>
  </si>
  <si>
    <t>Interest on Investments</t>
  </si>
  <si>
    <t>Audit Committee Allowance</t>
  </si>
  <si>
    <t>EPWP</t>
  </si>
  <si>
    <t>Penalties on Projects</t>
  </si>
  <si>
    <t>Subsistence &amp; Travel:Officials</t>
  </si>
  <si>
    <t>Protective Clothing</t>
  </si>
  <si>
    <t>Furniture &amp; Fittings</t>
  </si>
  <si>
    <t>Office Equipment</t>
  </si>
  <si>
    <t>ADMINISTRATION CAPITAL 298</t>
  </si>
  <si>
    <t>Fire Engines</t>
  </si>
  <si>
    <t>Car Allowance</t>
  </si>
  <si>
    <t>Repairs &amp; Maintenance</t>
  </si>
  <si>
    <t>AVAILABLE</t>
  </si>
  <si>
    <t>Capital Outlay</t>
  </si>
  <si>
    <t>DEPARTMENT</t>
  </si>
  <si>
    <t>General Council</t>
  </si>
  <si>
    <t>Municipal Manager</t>
  </si>
  <si>
    <t>Internal Audit</t>
  </si>
  <si>
    <t>Planning &amp;Development</t>
  </si>
  <si>
    <t>LED</t>
  </si>
  <si>
    <t>IDP</t>
  </si>
  <si>
    <t>Communications &amp; Marketing</t>
  </si>
  <si>
    <t>Water Services</t>
  </si>
  <si>
    <t>Health,Environment &amp;waste</t>
  </si>
  <si>
    <t>Electrical Services</t>
  </si>
  <si>
    <t>Roads &amp;Transport</t>
  </si>
  <si>
    <t>Community Services</t>
  </si>
  <si>
    <t>Disaster Management</t>
  </si>
  <si>
    <t>Corporate Services</t>
  </si>
  <si>
    <t>Human Resource</t>
  </si>
  <si>
    <t>Administration</t>
  </si>
  <si>
    <t>Legal Services</t>
  </si>
  <si>
    <t>Office of Executive Mayor</t>
  </si>
  <si>
    <t>Office of the Speaker</t>
  </si>
  <si>
    <t>Office of the Chief Whip</t>
  </si>
  <si>
    <t>Disability Desk</t>
  </si>
  <si>
    <t>Gender Desk</t>
  </si>
  <si>
    <t>Youth Desk</t>
  </si>
  <si>
    <t>TOTAL</t>
  </si>
  <si>
    <t>SUMMARY</t>
  </si>
  <si>
    <t>TOTAL INCOME</t>
  </si>
  <si>
    <t>TOTAL EXPENDITURE</t>
  </si>
  <si>
    <t>Additional funds can only be given to correct on projects which were not bugeted for and there is expenditure</t>
  </si>
  <si>
    <t>Community services should give old by-laws for services charges and trend analysis on incidences per station per month.</t>
  </si>
  <si>
    <t>To deal with the deficit, all additional funds should be referred to the coming year</t>
  </si>
  <si>
    <t>The budget allocated on Botshabelo CRDP is under general expenses on council and must therefore be adjusted if there are no projects identified.</t>
  </si>
  <si>
    <t>Childrens Rights Parliament</t>
  </si>
  <si>
    <t>Asset Disposal (Auction)</t>
  </si>
  <si>
    <t>DPLG&amp;H - Nandoni</t>
  </si>
  <si>
    <t>2011/2012</t>
  </si>
  <si>
    <t>2012/2013</t>
  </si>
  <si>
    <t>2013/2014</t>
  </si>
  <si>
    <t>Water &amp; Electricity Consumption</t>
  </si>
  <si>
    <t>PMU</t>
  </si>
  <si>
    <t>Corporate GIS Establishment</t>
  </si>
  <si>
    <t>District Disability Forum</t>
  </si>
  <si>
    <t>DWA (Refurbishment)</t>
  </si>
  <si>
    <t>District ward Committee Forum</t>
  </si>
  <si>
    <t>District Ward Committee Conference</t>
  </si>
  <si>
    <t>District IGF</t>
  </si>
  <si>
    <t>DWA - Nandoni</t>
  </si>
  <si>
    <t>REVENUE</t>
  </si>
  <si>
    <t>DWA (Operation &amp; Maintenance)</t>
  </si>
  <si>
    <t>DWA (Human Resource)</t>
  </si>
  <si>
    <t>Commission on Debit Orders</t>
  </si>
  <si>
    <t>WATER FUNCTION - 2009/10</t>
  </si>
  <si>
    <t>MUNICIPALITY</t>
  </si>
  <si>
    <t xml:space="preserve">REVENUE </t>
  </si>
  <si>
    <t>EXPENDITURE</t>
  </si>
  <si>
    <t>Ba-Phalaborwa</t>
  </si>
  <si>
    <t>not yer audited</t>
  </si>
  <si>
    <t>Greater Giyani</t>
  </si>
  <si>
    <t>Greater Letaba</t>
  </si>
  <si>
    <t>Greater Tzaneen</t>
  </si>
  <si>
    <t xml:space="preserve"> </t>
  </si>
  <si>
    <t>Maruleng</t>
  </si>
  <si>
    <t xml:space="preserve">Includes sewer expenditure - not separated </t>
  </si>
  <si>
    <t>SANITATION FUNCTION - 2009/10</t>
  </si>
  <si>
    <t>Incl above</t>
  </si>
  <si>
    <t>Local Municipalities</t>
  </si>
  <si>
    <t>Regional Bulk Water-Mametja-Sekororo</t>
  </si>
  <si>
    <t>Regional Bulk Water-Nkambako</t>
  </si>
  <si>
    <t>Financial Management Grant</t>
  </si>
  <si>
    <t>Municipal Systems Improvement Grant</t>
  </si>
  <si>
    <t>Municipal Infrastructure Grant</t>
  </si>
  <si>
    <t>DEFICIT/(SURPLUS)</t>
  </si>
  <si>
    <t>Engineering Services</t>
  </si>
  <si>
    <t xml:space="preserve">   </t>
  </si>
  <si>
    <t>YTD</t>
  </si>
  <si>
    <t>INCREASE/DECREASE</t>
  </si>
  <si>
    <t>ADJUSTED BUDGET</t>
  </si>
  <si>
    <t>Rural Transport Grant</t>
  </si>
  <si>
    <t>Vehicles(Graders)</t>
  </si>
  <si>
    <t>IT</t>
  </si>
  <si>
    <t>Bulk Purchases-Water</t>
  </si>
  <si>
    <t>Bulk Purchases</t>
  </si>
  <si>
    <t>GREATER TZANEEN-WATER NETWORK 166</t>
  </si>
  <si>
    <t>Standby Allowance</t>
  </si>
  <si>
    <t>Leave Redemption</t>
  </si>
  <si>
    <t>Bargain Council</t>
  </si>
  <si>
    <t>Group Insurance</t>
  </si>
  <si>
    <t>Machine &amp; Equipment</t>
  </si>
  <si>
    <t>Infrastructure Water ( O &amp; M)</t>
  </si>
  <si>
    <t>Accommodation</t>
  </si>
  <si>
    <t>Provision for Bad debts</t>
  </si>
  <si>
    <t>Licence &amp; Permits</t>
  </si>
  <si>
    <t>Indigent Support</t>
  </si>
  <si>
    <t>Services charges-Water</t>
  </si>
  <si>
    <t>Water Connection Fees</t>
  </si>
  <si>
    <t>Water Reconnection fees</t>
  </si>
  <si>
    <t>Water:Services Charges</t>
  </si>
  <si>
    <t>Interest on outstanding Debtors</t>
  </si>
  <si>
    <t>Sewer-Service charges</t>
  </si>
  <si>
    <t>Sewer Connection</t>
  </si>
  <si>
    <t>Cellphone-MTN</t>
  </si>
  <si>
    <t>Subsistance &amp; Travelling</t>
  </si>
  <si>
    <t>Sewer:Services Charges</t>
  </si>
  <si>
    <t>Water Connection fees</t>
  </si>
  <si>
    <t>Pensionable Allowance</t>
  </si>
  <si>
    <t>Performance Incentive Scheme</t>
  </si>
  <si>
    <t>Workman Compensation</t>
  </si>
  <si>
    <t>Skills Development Levy</t>
  </si>
  <si>
    <t>Owned Buildings</t>
  </si>
  <si>
    <t>Networks</t>
  </si>
  <si>
    <t>Water Supply</t>
  </si>
  <si>
    <t>Security services</t>
  </si>
  <si>
    <t>GTM Agency Fees</t>
  </si>
  <si>
    <t>New &amp; lost Books</t>
  </si>
  <si>
    <t>Public Drive Permits</t>
  </si>
  <si>
    <t>Non Capital Tools &amp; Equipment</t>
  </si>
  <si>
    <t>Standby Meal Expenses</t>
  </si>
  <si>
    <t>Subscriptions</t>
  </si>
  <si>
    <t>Testing of Samples</t>
  </si>
  <si>
    <t>Electricity Charges</t>
  </si>
  <si>
    <t>Sewer:Service Charges</t>
  </si>
  <si>
    <t xml:space="preserve">Cellphone </t>
  </si>
  <si>
    <t>Depreciation</t>
  </si>
  <si>
    <t>Network</t>
  </si>
  <si>
    <t>Rebates-Sewerage</t>
  </si>
  <si>
    <t>Sidewalks &amp; Pavement</t>
  </si>
  <si>
    <t>Licences &amp; Permits-Non vehicles</t>
  </si>
  <si>
    <t>Water Rights Pusela</t>
  </si>
  <si>
    <t>Furniture &amp; Office Equipment</t>
  </si>
  <si>
    <t>Owned land</t>
  </si>
  <si>
    <t>Consumable Domestic</t>
  </si>
  <si>
    <t>Consumable Domestics</t>
  </si>
  <si>
    <t>Training Cost</t>
  </si>
  <si>
    <t>Interest External Loans</t>
  </si>
  <si>
    <t>Interest Expenses-External Borrowings</t>
  </si>
  <si>
    <t>Subsistance&amp; Travelling</t>
  </si>
  <si>
    <t>Clearing of Blocked Drain</t>
  </si>
  <si>
    <t>Charges-Industrial Council</t>
  </si>
  <si>
    <t>Sewer: Services Charges</t>
  </si>
  <si>
    <t>Ba Phalaborwa-Water</t>
  </si>
  <si>
    <t>Ba Phalaborwa-Sewer</t>
  </si>
  <si>
    <t>Greater Giyani-Water</t>
  </si>
  <si>
    <t>Greater Giyani-Sewer</t>
  </si>
  <si>
    <t>Greater Letaba-Water</t>
  </si>
  <si>
    <t>Greater Letaba-Sewerage</t>
  </si>
  <si>
    <t>Greater Tzaneen-Water</t>
  </si>
  <si>
    <t>Greater Tzaneen-Sewerage</t>
  </si>
  <si>
    <t>Maruleng-Water &amp; Sewerage</t>
  </si>
  <si>
    <t>Ba Phalaborwa</t>
  </si>
  <si>
    <t>SUMMARY REVENUE</t>
  </si>
  <si>
    <t>Grants</t>
  </si>
  <si>
    <t>Services Charges</t>
  </si>
  <si>
    <t>Other revenue</t>
  </si>
  <si>
    <t>Mopani District Municipality</t>
  </si>
  <si>
    <t>Interest on Investment</t>
  </si>
  <si>
    <t>Debt Impairment</t>
  </si>
  <si>
    <t>Emergency Equipment</t>
  </si>
  <si>
    <t>Fire &amp; Rescue Equipment</t>
  </si>
  <si>
    <t>Hoedspruit Bulk Water Supply</t>
  </si>
  <si>
    <t>SDL</t>
  </si>
  <si>
    <t>Advertising &amp; Marketing</t>
  </si>
  <si>
    <t>2015/2016</t>
  </si>
  <si>
    <t>District Internal Auditors Forum</t>
  </si>
  <si>
    <t>OHS Assessment</t>
  </si>
  <si>
    <t>Interest on Outstanding Debtors</t>
  </si>
  <si>
    <t>Long services award</t>
  </si>
  <si>
    <t>Interest on outstanding debtors</t>
  </si>
  <si>
    <t>District MIG session</t>
  </si>
  <si>
    <t>Stand by allowance</t>
  </si>
  <si>
    <t>Shift Allowance</t>
  </si>
  <si>
    <t>Long services Allowance</t>
  </si>
  <si>
    <t>Cellphone allowance-officials</t>
  </si>
  <si>
    <t>Free Basic Sanitation</t>
  </si>
  <si>
    <t>Water Re connection fees</t>
  </si>
  <si>
    <t>Water: Services charges</t>
  </si>
  <si>
    <t>Membership fees</t>
  </si>
  <si>
    <t>Water Rights pusela</t>
  </si>
  <si>
    <t>Clearing of blocked drains</t>
  </si>
  <si>
    <t>Conference and Congresses</t>
  </si>
  <si>
    <t>Training Costs</t>
  </si>
  <si>
    <t>Commission on Debit Orders-PayDay</t>
  </si>
  <si>
    <t>Disaster Relief Support</t>
  </si>
  <si>
    <t>O &amp; M</t>
  </si>
  <si>
    <t>Travel Reimbursement</t>
  </si>
  <si>
    <t xml:space="preserve">Long Service </t>
  </si>
  <si>
    <t>Water Infrastructure</t>
  </si>
  <si>
    <t>Long Service Award</t>
  </si>
  <si>
    <t>Subsistence and Travelling</t>
  </si>
  <si>
    <t>Water Re- Connection Fees</t>
  </si>
  <si>
    <t>Income Forgone</t>
  </si>
  <si>
    <t>Free Basic Services</t>
  </si>
  <si>
    <t>New and Lost Books</t>
  </si>
  <si>
    <t>Income foregone</t>
  </si>
  <si>
    <t>(Surplus)/Deficit</t>
  </si>
  <si>
    <t>2016/2017</t>
  </si>
  <si>
    <t>Aerial fire fighting support</t>
  </si>
  <si>
    <t>Fire Awareness Campaigns</t>
  </si>
  <si>
    <t>Development of a District Fire Plan</t>
  </si>
  <si>
    <t>Updating of Financial System</t>
  </si>
  <si>
    <t>Purchase of Water DVK</t>
  </si>
  <si>
    <t>Rental Photo Copy Machine</t>
  </si>
  <si>
    <t>Licensing: Computers Software</t>
  </si>
  <si>
    <t>Road Asset Management System</t>
  </si>
  <si>
    <t>Fire Extingushers</t>
  </si>
  <si>
    <t>Youth Council Assembly</t>
  </si>
  <si>
    <t>Deficit/(Surplus)</t>
  </si>
  <si>
    <t>Services Charges-Unmetered Yards</t>
  </si>
  <si>
    <t>Men's Forum</t>
  </si>
  <si>
    <t>District Sports Confederation</t>
  </si>
  <si>
    <t>Golden Games</t>
  </si>
  <si>
    <t>Disability Sports</t>
  </si>
  <si>
    <t>District Health Council</t>
  </si>
  <si>
    <t>Food Sampling &amp; Analysis</t>
  </si>
  <si>
    <t>Fire Protection Association</t>
  </si>
  <si>
    <t>Rural Waste Management Projects-EPWP</t>
  </si>
  <si>
    <t>interest on Call Account</t>
  </si>
  <si>
    <t>Rent Wter-Towers</t>
  </si>
  <si>
    <t>Communication Network</t>
  </si>
  <si>
    <t>Motor Vehicles</t>
  </si>
  <si>
    <t>2017/2018</t>
  </si>
  <si>
    <t>MPAC</t>
  </si>
  <si>
    <t>Elders Forum</t>
  </si>
  <si>
    <t>Gender Forum</t>
  </si>
  <si>
    <t>Chemicals</t>
  </si>
  <si>
    <t>Fleet Rental</t>
  </si>
  <si>
    <t>Subsistence &amp; Travelling : Officials</t>
  </si>
  <si>
    <t>Protective Clothing for Cleaners</t>
  </si>
  <si>
    <t>Maintenance of Infrastructure</t>
  </si>
  <si>
    <t>SEKORORO WATER WORKS 149</t>
  </si>
  <si>
    <t>HOEDSPRUIT  WATER PACKAGE PLANT 150</t>
  </si>
  <si>
    <t>KLASERIE WATER WORKS 151</t>
  </si>
  <si>
    <t>ELECTROMECHANICAL 153</t>
  </si>
  <si>
    <t>Lulekani Sewage Works</t>
  </si>
  <si>
    <t>Namakkgale Sewage Works</t>
  </si>
  <si>
    <t>Nondweni Water Works</t>
  </si>
  <si>
    <t>Giyani Water Works</t>
  </si>
  <si>
    <t>Mapuve Water Works</t>
  </si>
  <si>
    <t>Middle Letaba Water Works</t>
  </si>
  <si>
    <t>Zava Water Works</t>
  </si>
  <si>
    <t>Muyexe Water Works</t>
  </si>
  <si>
    <t>Giyani Sewage Works</t>
  </si>
  <si>
    <t>IK Ponds</t>
  </si>
  <si>
    <t>Modjadji Water Works</t>
  </si>
  <si>
    <t>Kuranta Water Package Plant</t>
  </si>
  <si>
    <t>Kgapane Sewage Works</t>
  </si>
  <si>
    <t>Senwamokgope Sewage Works</t>
  </si>
  <si>
    <t>Nkambako Water Works</t>
  </si>
  <si>
    <t>Thapane Water Works</t>
  </si>
  <si>
    <t>Thabina Water Works</t>
  </si>
  <si>
    <t>Tours Water Works</t>
  </si>
  <si>
    <t>Semarela Water Works</t>
  </si>
  <si>
    <t>Nkowankowa Water Works</t>
  </si>
  <si>
    <t>The Oaks Water Works</t>
  </si>
  <si>
    <t>Finale Water Works</t>
  </si>
  <si>
    <t>Sekororo Water Works</t>
  </si>
  <si>
    <t>Klaserie Water Works</t>
  </si>
  <si>
    <t>Water Quality</t>
  </si>
  <si>
    <t>Functionality Audit</t>
  </si>
  <si>
    <t>Fire Services-Palaborwa</t>
  </si>
  <si>
    <t>Fire Services-Giyani</t>
  </si>
  <si>
    <t>Fire Services-Letaba</t>
  </si>
  <si>
    <t>Fire Services-Tzaneen</t>
  </si>
  <si>
    <t>Fire Services-Maruleng</t>
  </si>
  <si>
    <t>IDP Review</t>
  </si>
  <si>
    <t>Calibrating of Water Quality equipment and Flow meters</t>
  </si>
  <si>
    <t>Lenyenye ponds</t>
  </si>
  <si>
    <t>Nkowankowa Sewage Works</t>
  </si>
  <si>
    <t>Stores and materials</t>
  </si>
  <si>
    <t>Non Pensionable Allowance</t>
  </si>
  <si>
    <t>Printing and Stationary</t>
  </si>
  <si>
    <t>Workmans Compensation</t>
  </si>
  <si>
    <t>Interest External loan</t>
  </si>
  <si>
    <t>Fire Emergency Refreshment</t>
  </si>
  <si>
    <t>Clothing Allowance</t>
  </si>
  <si>
    <t>Subscription</t>
  </si>
  <si>
    <t>Standby meals</t>
  </si>
  <si>
    <t>2018/2019</t>
  </si>
  <si>
    <t>Operation Clean Audit( Accounting for Water and Sanitation)</t>
  </si>
  <si>
    <t>District World Aids Day</t>
  </si>
  <si>
    <t>Car allowance</t>
  </si>
  <si>
    <t>Water Services Infrastructure Grant</t>
  </si>
  <si>
    <t>Rural Roads Asset  Management Grant</t>
  </si>
  <si>
    <t>water basic</t>
  </si>
  <si>
    <t>Housing Allowance</t>
  </si>
  <si>
    <t>Vehicle</t>
  </si>
  <si>
    <t>MIG Allocation</t>
  </si>
  <si>
    <t>PMU CAPITAL 251</t>
  </si>
  <si>
    <t>Computr Equipment</t>
  </si>
  <si>
    <t>Printers/Scanners/</t>
  </si>
  <si>
    <t>Printing and stationery</t>
  </si>
  <si>
    <t>Standby allowance</t>
  </si>
  <si>
    <t>Salga Levy</t>
  </si>
  <si>
    <t>Housing</t>
  </si>
  <si>
    <t>Leave redemption</t>
  </si>
  <si>
    <t>Sidewalks &amp; Pavements</t>
  </si>
  <si>
    <t>Licence</t>
  </si>
  <si>
    <t>Night Shift Allowance</t>
  </si>
  <si>
    <t>Bulk Purchases Water</t>
  </si>
  <si>
    <t>Electricity charge</t>
  </si>
  <si>
    <t>Jopie Mawa- Ramotshinyadi</t>
  </si>
  <si>
    <t>Lower Molototsi Scheme</t>
  </si>
  <si>
    <t>Sekgopo Scheme</t>
  </si>
  <si>
    <t>Sekgosese Scheme</t>
  </si>
  <si>
    <t>Worcester</t>
  </si>
  <si>
    <t>2019/2020</t>
  </si>
  <si>
    <t>Employee wellness</t>
  </si>
  <si>
    <t>Council Portfolio committee</t>
  </si>
  <si>
    <t>Cellphone Allowance</t>
  </si>
  <si>
    <t>Data Cards</t>
  </si>
  <si>
    <t>Cellphone allowance</t>
  </si>
  <si>
    <t>Fire Brigade allowance</t>
  </si>
  <si>
    <t>Budget &amp;Treasury-SCM</t>
  </si>
  <si>
    <t>Budget &amp;Treasury-CFO</t>
  </si>
  <si>
    <t>Budget &amp;Treasury-Expenditure Management</t>
  </si>
  <si>
    <t>Budget &amp;Treasury-Revenue Management</t>
  </si>
  <si>
    <t>Budget &amp;Treasury-Asset Management</t>
  </si>
  <si>
    <t>Budget &amp;Treasury-Budget and Reporting</t>
  </si>
  <si>
    <t>Alignment of Water Master Plan with the Provincial Master Plan</t>
  </si>
  <si>
    <t>Functionality Assessment and Infrastructure Audit</t>
  </si>
  <si>
    <t>WSIG</t>
  </si>
  <si>
    <t>Partnerhip event</t>
  </si>
  <si>
    <t>Candlelight Memorial celebration</t>
  </si>
  <si>
    <t>Red ribbon</t>
  </si>
  <si>
    <t>Food hamper child headed family support</t>
  </si>
  <si>
    <t>Awareness campaign</t>
  </si>
  <si>
    <t>Refurbishment of specialised fire vehicles</t>
  </si>
  <si>
    <t>Support federation</t>
  </si>
  <si>
    <t>Development of IWMP</t>
  </si>
  <si>
    <t xml:space="preserve">Cellphone Allowance </t>
  </si>
  <si>
    <t>Data cards</t>
  </si>
  <si>
    <t>Infreastructure</t>
  </si>
  <si>
    <t>Sefofotse  to Ditshosini Bulk Water Supply(Bellevue, Sefofotse)</t>
  </si>
  <si>
    <t>FUNDING</t>
  </si>
  <si>
    <t>MIG</t>
  </si>
  <si>
    <t>EQUITABLE SHARES</t>
  </si>
  <si>
    <t>LP-HEALTH</t>
  </si>
  <si>
    <t>FMG</t>
  </si>
  <si>
    <t>RRAMS</t>
  </si>
  <si>
    <t>(DEFICIT)/SURPLUS</t>
  </si>
  <si>
    <t>PMU Special Support-Consultants, Geo tech, OHS</t>
  </si>
  <si>
    <t xml:space="preserve">ENGINEERING SERVICES CAPITAL </t>
  </si>
  <si>
    <t>Specialised Vehicles</t>
  </si>
  <si>
    <t>contracted services</t>
  </si>
  <si>
    <t>overtime</t>
  </si>
  <si>
    <t>other allowances</t>
  </si>
  <si>
    <t>bulk purchase</t>
  </si>
  <si>
    <t>skills and development</t>
  </si>
  <si>
    <t>infrastructure</t>
  </si>
  <si>
    <t>cellphone</t>
  </si>
  <si>
    <t>0611</t>
  </si>
  <si>
    <t xml:space="preserve">Cell phone </t>
  </si>
  <si>
    <t>Cellphone</t>
  </si>
  <si>
    <t>Repayment of Bulk Water -LNW</t>
  </si>
  <si>
    <t>2020/2021</t>
  </si>
  <si>
    <t>Newsletter</t>
  </si>
  <si>
    <t>Elders dialog</t>
  </si>
  <si>
    <t>Agri Expo support</t>
  </si>
  <si>
    <t>Marula Festival</t>
  </si>
  <si>
    <t xml:space="preserve">GIS </t>
  </si>
  <si>
    <t>AFIS Dashboard</t>
  </si>
  <si>
    <t>Repayment of Bulk Water -DWS</t>
  </si>
  <si>
    <t>Current Bulk Water-LNW</t>
  </si>
  <si>
    <t>Cell phone</t>
  </si>
  <si>
    <t>Name Tags/Access Cards</t>
  </si>
  <si>
    <t>Computer Network Cabling</t>
  </si>
  <si>
    <t>Data Projectors</t>
  </si>
  <si>
    <t>Telephone PABX System</t>
  </si>
  <si>
    <t>Executive Mayor's cup and marathon</t>
  </si>
  <si>
    <t>Fleet</t>
  </si>
  <si>
    <t>Disaster Management Seminar</t>
  </si>
  <si>
    <t>All expenses for PMU activities TO mig grant funding</t>
  </si>
  <si>
    <t>Check UNIVEN funding if also for next FY</t>
  </si>
  <si>
    <t>Skills Levy- LGSETA</t>
  </si>
  <si>
    <t>For operation expenses such s phones, check the hisoric expenditure and upp by a reasonable percentage.</t>
  </si>
  <si>
    <t>World TB Day</t>
  </si>
  <si>
    <t>District awareness</t>
  </si>
  <si>
    <t>Upgrading of Security systems</t>
  </si>
  <si>
    <t>SIU</t>
  </si>
  <si>
    <t>Development of Water Safety Plan</t>
  </si>
  <si>
    <t>Workman compensation (COIDA)</t>
  </si>
  <si>
    <t>ADJUSTMENT 2018/2019</t>
  </si>
  <si>
    <t>YTD Expenditure</t>
  </si>
  <si>
    <t>Available</t>
  </si>
  <si>
    <t>Increase/Decrease</t>
  </si>
  <si>
    <t>Adjustment Budget</t>
  </si>
  <si>
    <t>ENGINEERING SERVICES 050</t>
  </si>
  <si>
    <t>HEALTH AND ENVIRONMENT 060</t>
  </si>
  <si>
    <t>ELECTRICITY 064</t>
  </si>
  <si>
    <t>ROADS &amp; TRANSPORT  065</t>
  </si>
  <si>
    <t>COMMUNITY SERVICES 070</t>
  </si>
  <si>
    <t>FIRE SERVICES-BA PHALABORWA 075</t>
  </si>
  <si>
    <t>FIRE SERVICES-GIYANI 076</t>
  </si>
  <si>
    <t>FIRE SERVICES-LETABA 077</t>
  </si>
  <si>
    <t>FIRE SERVICES- TZANEEN 078</t>
  </si>
  <si>
    <t>FIRE SERVICES-MARULENG 079</t>
  </si>
  <si>
    <t>DISASTER MANAGEMENT 080</t>
  </si>
  <si>
    <t>CORPORATE SERVICES 090</t>
  </si>
  <si>
    <t>ADMINISTRATION 100</t>
  </si>
  <si>
    <t>LEGAL SERVICES 105</t>
  </si>
  <si>
    <t>INFORMATION TECHNOLOGY 106</t>
  </si>
  <si>
    <t>OFFICE OF THE EXECUTIVE MAYOR 110</t>
  </si>
  <si>
    <t>OFFICE OF THE SPEAKER 112</t>
  </si>
  <si>
    <t>OFFICE OF THE CHIEF WHIP 114</t>
  </si>
  <si>
    <t>Pension/ Provident Fund</t>
  </si>
  <si>
    <t>DISABILITY DESK 116</t>
  </si>
  <si>
    <t>GENDER DESK 118</t>
  </si>
  <si>
    <t>YOUTH DESK 119</t>
  </si>
  <si>
    <t>BA PHALABORWA-WATER 160</t>
  </si>
  <si>
    <t>BA PHALABORWA-SEWER 161</t>
  </si>
  <si>
    <t>GREATER GIYANI-WATER 162</t>
  </si>
  <si>
    <t xml:space="preserve">Skill Development </t>
  </si>
  <si>
    <t>GREATER GIYANI-SEWER 163</t>
  </si>
  <si>
    <t>GREATER LETABA-WATER 164</t>
  </si>
  <si>
    <t>FIRE CAPITAL 275</t>
  </si>
  <si>
    <t>DISASTER CAPITAL 280</t>
  </si>
  <si>
    <t>GREATER LETABA-SEWERAGE 165</t>
  </si>
  <si>
    <t>GREATER TZANEEN-WATER PURIFICATION 167</t>
  </si>
  <si>
    <t>GREATER TZANEEN-SEWERAGE PURIFICATION 168</t>
  </si>
  <si>
    <t>MODJADJI WATER WORKS 135</t>
  </si>
  <si>
    <t>KURANTA WATER PACKAGE PLANT 136</t>
  </si>
  <si>
    <t>KGAPANE SEWAGE WORKS 137</t>
  </si>
  <si>
    <t>SENWAMOKGOPE SEWAGE WORKS 138</t>
  </si>
  <si>
    <t>THAPANE WATER WORKS 140</t>
  </si>
  <si>
    <t>THABINA WATER WORKS 141</t>
  </si>
  <si>
    <t>TOURS WATER WORKS 142</t>
  </si>
  <si>
    <t>SIMARELA WATER WORKS 143</t>
  </si>
  <si>
    <t>NKOWANKOWA WATER WORKS 144</t>
  </si>
  <si>
    <t>LENYENYE PONDS 145</t>
  </si>
  <si>
    <t>THE OAKS WATER WORKS 147</t>
  </si>
  <si>
    <t>FINALE  WATER WORKS 148</t>
  </si>
  <si>
    <t>MAMETJA SEKORORO SCHEME 149</t>
  </si>
  <si>
    <t>WATER QUALITY 152</t>
  </si>
  <si>
    <t>WORCESTER SCHEME 153</t>
  </si>
  <si>
    <t>SEKGOSESE SCHEME 154</t>
  </si>
  <si>
    <t>LOWER MOLOTOTSI 155</t>
  </si>
  <si>
    <t>SEKGOPO 156</t>
  </si>
  <si>
    <t>MARULENG: WATER &amp; SEWERAGE 170</t>
  </si>
  <si>
    <t>MIDDLE LETABA WATER WORKS 130</t>
  </si>
  <si>
    <t>MUYEXE WATER WORKS 132</t>
  </si>
  <si>
    <t>ZAVA WATER WORKS 131</t>
  </si>
  <si>
    <t>NONDWENI WATER WORKS 127</t>
  </si>
  <si>
    <t>LULEKANI SEWAGE WORKS 125</t>
  </si>
  <si>
    <t>NAMAKGALE SEWAGE WORKS 126</t>
  </si>
  <si>
    <t>GIYANI SEWAGE WORKS 133</t>
  </si>
  <si>
    <t>MAPUVE WATER WORKS 129</t>
  </si>
  <si>
    <t>IK PONDS 134</t>
  </si>
  <si>
    <t>INFORMATION TECHNOLOGY CAPITAL 206</t>
  </si>
  <si>
    <t>FINANCE CAPITAL 220</t>
  </si>
  <si>
    <t>GIYANI WATER  WORKS 128</t>
  </si>
  <si>
    <t>EHS charges</t>
  </si>
  <si>
    <t>ORIGINAL BUDGET</t>
  </si>
  <si>
    <t>INCREASE/(DECREASE)</t>
  </si>
  <si>
    <t>BUDGET AND REPORTING  021</t>
  </si>
  <si>
    <t>INTERNAL AUDIT 006</t>
  </si>
  <si>
    <t>EXPENDITURE 022</t>
  </si>
  <si>
    <t>REVENUE MANAGEMENT 023</t>
  </si>
  <si>
    <t>ASSET MANAGEMENT 024</t>
  </si>
  <si>
    <t>SUPPLY CHAIN MANAGEMENT 026</t>
  </si>
  <si>
    <t>PLANNING AND DEVELOPMENT 030</t>
  </si>
  <si>
    <t>L E D 035</t>
  </si>
  <si>
    <t>I D P 040</t>
  </si>
  <si>
    <t>COMMUNICATION AND MARKETING 045</t>
  </si>
  <si>
    <t>PROJECT MANAGEMENT UNIT 051</t>
  </si>
  <si>
    <t>Borehole Electrification</t>
  </si>
  <si>
    <t>Bursaries</t>
  </si>
  <si>
    <t>Total income including local municipalities</t>
  </si>
  <si>
    <t>Total expenditure including local municipalities</t>
  </si>
  <si>
    <t>2021/2022</t>
  </si>
  <si>
    <t>GIS 032</t>
  </si>
  <si>
    <t xml:space="preserve"> 2019/2020</t>
  </si>
  <si>
    <t>Fire Bridgatte  allowance</t>
  </si>
  <si>
    <t>2021/20212</t>
  </si>
  <si>
    <t>Thabina to Lenyenye Bulk Water Supply</t>
  </si>
  <si>
    <t>Sekgosese Water Scheme</t>
  </si>
  <si>
    <t>Makhushane Water Scheme</t>
  </si>
  <si>
    <t>Development of Water Demand and conservation Management Strategy</t>
  </si>
  <si>
    <t>Development of Water and Sanitation  MasterPlan</t>
  </si>
  <si>
    <t>Development of the Waste Water Risk Abetement Plan</t>
  </si>
  <si>
    <t>Installation of Water Infrastructure Tracking Device</t>
  </si>
  <si>
    <t>Full SANS 241 Water Quality Test</t>
  </si>
  <si>
    <t>Bulk Purchasing of Chemicals</t>
  </si>
  <si>
    <t>Stores and Material( Spares)</t>
  </si>
  <si>
    <t>Development of Drought Mitigation Plan</t>
  </si>
  <si>
    <t>District Transport forum</t>
  </si>
  <si>
    <t>Youth Career expo</t>
  </si>
  <si>
    <t>Youth Advisory Council</t>
  </si>
  <si>
    <t>Anti corruption forum</t>
  </si>
  <si>
    <t>Spartial Planning</t>
  </si>
  <si>
    <t>GIS</t>
  </si>
  <si>
    <t>Gym Equipment</t>
  </si>
  <si>
    <t>Early warning system</t>
  </si>
  <si>
    <t>Research on the seismic hazard</t>
  </si>
  <si>
    <t>Smoke detector</t>
  </si>
  <si>
    <t>Woman and sports</t>
  </si>
  <si>
    <t>Ku luma Vukanyi</t>
  </si>
  <si>
    <t>Agency fees</t>
  </si>
  <si>
    <t>Disability Indaba</t>
  </si>
  <si>
    <t>SDF review</t>
  </si>
  <si>
    <t>GIS Awareness</t>
  </si>
  <si>
    <t>Migration health forum and support of NGO</t>
  </si>
  <si>
    <t>Elders day</t>
  </si>
  <si>
    <t>Upgrading of security system</t>
  </si>
  <si>
    <t>Community safety forum</t>
  </si>
  <si>
    <t>Less Depreciation  and Debt impairment</t>
  </si>
  <si>
    <t>Agency Fees (Tawanda)</t>
  </si>
  <si>
    <t>Water Reticulation Infrastructure for Middle Letaba Water Scheme Cluster 6</t>
  </si>
  <si>
    <t>Ritavi 2 Water Scheme</t>
  </si>
  <si>
    <t>Selwane Water Phase 2</t>
  </si>
  <si>
    <t>WSIG Allocation</t>
  </si>
  <si>
    <t>Bi-Laws</t>
  </si>
  <si>
    <t>Support to Green Economy</t>
  </si>
  <si>
    <t>Disposal of the dead</t>
  </si>
  <si>
    <t>Library Activities</t>
  </si>
  <si>
    <t>Junior Dipapadi</t>
  </si>
  <si>
    <t>mSCOA implementation</t>
  </si>
  <si>
    <t>Server room service</t>
  </si>
  <si>
    <t>Council resolutions tracking system</t>
  </si>
  <si>
    <t>Develop Export Market</t>
  </si>
  <si>
    <t>Review of LED strategy</t>
  </si>
  <si>
    <t>Chemical Safety</t>
  </si>
  <si>
    <t>District Arts and Culture</t>
  </si>
  <si>
    <t>Community satisfaction survey</t>
  </si>
  <si>
    <t>Public Participation Forum</t>
  </si>
  <si>
    <t>Audio-Visual recording system/equipment</t>
  </si>
  <si>
    <t>Fire Services Training centre</t>
  </si>
  <si>
    <t>Provision of furniture</t>
  </si>
  <si>
    <t>Hazmat Vehicle Conversion</t>
  </si>
  <si>
    <t>Maintenance of Moshupatsela fire belts</t>
  </si>
  <si>
    <t>Deficit: Before Depreciation and debt impairment</t>
  </si>
  <si>
    <t>Servers</t>
  </si>
  <si>
    <t>Bulk Purchasing of Borehole Spares</t>
  </si>
  <si>
    <t>SURLUS OR DEFICIT POSITION</t>
  </si>
  <si>
    <t xml:space="preserve">Investigation of a District Agency </t>
  </si>
  <si>
    <t>Medical screening</t>
  </si>
  <si>
    <t>KWCRS_Water Meter Readings BTO</t>
  </si>
  <si>
    <t>Other assets</t>
  </si>
  <si>
    <t>Sports and Recreation</t>
  </si>
  <si>
    <t>NKOWANKOWA SEWAGE WORKS 146</t>
  </si>
  <si>
    <t>NKAMBAKO WATER WORKS</t>
  </si>
  <si>
    <t>SPORTS AND RECREATION 117</t>
  </si>
  <si>
    <t>Rural Household Sanitation  (GTM)</t>
  </si>
  <si>
    <t>Rural Household Sanitation  (BPM)</t>
  </si>
  <si>
    <t>Rural Household Sanitation  (GGM)</t>
  </si>
  <si>
    <t>Rural Household Sanitation  (GLM)</t>
  </si>
  <si>
    <t>Total income excluding local municipalities</t>
  </si>
  <si>
    <t>Total expenditure excluding local municipalities</t>
  </si>
  <si>
    <t xml:space="preserve">Deficit: Before Depreciation </t>
  </si>
  <si>
    <t xml:space="preserve">Less Depreciation  </t>
  </si>
  <si>
    <t>Difference</t>
  </si>
  <si>
    <t xml:space="preserve"> Revised Budget 2019/2020</t>
  </si>
  <si>
    <t>Original Budget 2019/2020</t>
  </si>
  <si>
    <t>Original Budget 2020/2021</t>
  </si>
  <si>
    <t>Revised Budget2020/2021</t>
  </si>
  <si>
    <t>Original Budget 2021/2022</t>
  </si>
  <si>
    <t>Revised Budget 2021/2022</t>
  </si>
  <si>
    <t>2022/2023</t>
  </si>
  <si>
    <t>AFS Preparation</t>
  </si>
  <si>
    <t>Institutional capacity building (SEDA TRAININGS)</t>
  </si>
  <si>
    <t>Institutional capacity building (DISRTICT LED FORUMS)</t>
  </si>
  <si>
    <t>Institutional capacity building (TECHNICAL ECONOMIC COMMITTEE FORUM)</t>
  </si>
  <si>
    <t>Institutional capacity building (EPWP DISTRICT FORUM)</t>
  </si>
  <si>
    <t>Institutional capacity building (SECTOR ENGAGEMENT)</t>
  </si>
  <si>
    <t>Institutional capacity building (LED PRACTIONERS MEETINGS)</t>
  </si>
  <si>
    <t>Partnerships- Collaboration with Stakeholders</t>
  </si>
  <si>
    <t>Rand Show Exhibition(Provide and Manage Exhibition pavallion</t>
  </si>
  <si>
    <t>Tourism Indaba (Provide and co-manage exhibition pavallion with LTA</t>
  </si>
  <si>
    <t>District Tourism Management(Review of progress in the implementation of Tourism Sector Strategies)</t>
  </si>
  <si>
    <t>Mineral Resources Prioritazation Study(Commodity Priotization business  Case Study)</t>
  </si>
  <si>
    <t>Determination of Land use appliccations</t>
  </si>
  <si>
    <t>Selwane Township Establishment</t>
  </si>
  <si>
    <t>Humulani/Matikoxikaya Township Establishment</t>
  </si>
  <si>
    <t>GLM LUS development</t>
  </si>
  <si>
    <t>N'wamitwa Township Establishment</t>
  </si>
  <si>
    <t>Xihoko Township Establishment</t>
  </si>
  <si>
    <t>Geographical Information system strategy</t>
  </si>
  <si>
    <t>Land Information Management System</t>
  </si>
  <si>
    <t>Town Planning Application Management System</t>
  </si>
  <si>
    <t>Infrastructure Management System Applicastion</t>
  </si>
  <si>
    <t>Disaster Management System Application</t>
  </si>
  <si>
    <t>IDP dash board system Application</t>
  </si>
  <si>
    <t>GIS Maitenance</t>
  </si>
  <si>
    <t>Project Document Management system Application</t>
  </si>
  <si>
    <t>Landscaping</t>
  </si>
  <si>
    <t>Pest Control</t>
  </si>
  <si>
    <t>Electronic  Management  System</t>
  </si>
  <si>
    <t>Electricity Backup System</t>
  </si>
  <si>
    <t>Disaster Risk Reduction research with University of Venda</t>
  </si>
  <si>
    <t>Upgrading and renovation of the operational Centre and Tactical Centre</t>
  </si>
  <si>
    <t>Improve landscaping and garden servicess at the Centre</t>
  </si>
  <si>
    <t>Smoke detectors</t>
  </si>
  <si>
    <t>Fire safety Project</t>
  </si>
  <si>
    <t>Training for Disaster Management Forums and Disaster Task Teams</t>
  </si>
  <si>
    <t>Maitenance of the generator</t>
  </si>
  <si>
    <t>Licences:Vehicles</t>
  </si>
  <si>
    <t>Advisory Forum Meetings</t>
  </si>
  <si>
    <t>Attending Disaster Management Conferences</t>
  </si>
  <si>
    <t>Solar light Project</t>
  </si>
  <si>
    <t>Identification of flood lines</t>
  </si>
  <si>
    <t>Installation of Camers at high risk areas</t>
  </si>
  <si>
    <t>Giyani Pipeline C and D Makhuva</t>
  </si>
  <si>
    <t>Upgrading of the Bulk Pipeline Thabina</t>
  </si>
  <si>
    <t>Senwamokgope Village Township Sewer Bulkline-Reticulation Ugrade &amp; Electrical Power Provision sewege Plant Senwamokgope</t>
  </si>
  <si>
    <t>Nhlaniki Upgrading of Water Reticulation Nhlaniki</t>
  </si>
  <si>
    <t>Ramaroka Village Bulk Water  Supply Upgrade Ramaroka</t>
  </si>
  <si>
    <t>Refurbishment of Namakgale Water Treatment Namakgale</t>
  </si>
  <si>
    <t>Eco Park (Xikukwane) Water Reticulation Xikukwane</t>
  </si>
  <si>
    <t>Ngove Water  Supply &amp; Reticulation Ngove</t>
  </si>
  <si>
    <t>Rottedam(Manyunyu) Group Water Scheme Manyunyu</t>
  </si>
  <si>
    <t>Giyani Water Treatment Plant Giyani</t>
  </si>
  <si>
    <t>Santeng Source Development Santeng</t>
  </si>
  <si>
    <t>Nkowankowa Water Works Upgrading  Nkowankowa</t>
  </si>
  <si>
    <t>Maselapata Refurbishment and Uprgading of Internal  Water Reticulation Network Maselapata</t>
  </si>
  <si>
    <t>Refurbishment of Thapane Water Treatment Plant Thapane</t>
  </si>
  <si>
    <t>Hlohlokwe Refurbishment Replacement and Upgrading of Internal Water Reticulation Network Hlohlokwe</t>
  </si>
  <si>
    <t>Mediengeng Refurbishment ,Rehabilition and Upgrading  of internal Water Reticulation MEDIENGENG</t>
  </si>
  <si>
    <t xml:space="preserve">Installation of Bulk Water Meters in Reservoirs </t>
  </si>
  <si>
    <t>Selwane Water Scheme SELWANE</t>
  </si>
  <si>
    <t>Xikhumba Water Supply XIKHUMBA</t>
  </si>
  <si>
    <t>NOBLEHOEK Booster Pump Station-NOBLEHOEK</t>
  </si>
  <si>
    <t>Vaalwater Water Reticulation-VAALWATER</t>
  </si>
  <si>
    <t>Nkomo Upgrading of Water Reticulation-NKOMO</t>
  </si>
  <si>
    <t>Homu Upgrading of Water Reticulation-Homu</t>
  </si>
  <si>
    <t>Daniel Bulk Water Supply &amp; Reticulation-DANIEL</t>
  </si>
  <si>
    <t xml:space="preserve">Development of Water Services Development Plan </t>
  </si>
  <si>
    <t>Kampersrus Bulk Water Reticulation and Scortia Water reticulation</t>
  </si>
  <si>
    <t>Asset Management (Assets verifications and updating of Assets Register)</t>
  </si>
  <si>
    <t>Lephephane Bulk Water</t>
  </si>
  <si>
    <t xml:space="preserve">Tours Water Reticulation </t>
  </si>
  <si>
    <t>Tours Water Scheme-Bulk lines refurbishment and reticulation</t>
  </si>
  <si>
    <t>Thapane Regional Water Scheme</t>
  </si>
  <si>
    <t>5 Year Finanacial Plan</t>
  </si>
  <si>
    <t>Review of District Integrated Transport Plan (DITP)</t>
  </si>
  <si>
    <t xml:space="preserve">Road Safety Campaigns (Easter road, October transport month, Festive season road safety campaigns) </t>
  </si>
  <si>
    <t>Road Safety Competitions (Road Safety Debate &amp; PET Competition, Driver of the Year Competiton)</t>
  </si>
  <si>
    <t>Construction, Refurbishment and Upgrading of Operators houses</t>
  </si>
  <si>
    <t>Application for Accreditation of Water Quality testing laboratory</t>
  </si>
  <si>
    <t>Borehole Development (Rehabilitation, Refurbishment, Maintenance of existing and Drilling of New Boreholes)</t>
  </si>
  <si>
    <t>Upgrading of Emergency communication centre/ Central communication centre</t>
  </si>
  <si>
    <t>Installation of Emergency Number sign Board in the District</t>
  </si>
  <si>
    <t>Installation of new digital radio and repeater network for the district</t>
  </si>
  <si>
    <t>Emergency light for disaster vehicles</t>
  </si>
  <si>
    <t>Food safety and Hygiene Awareness</t>
  </si>
  <si>
    <t>Regional Landfill site</t>
  </si>
  <si>
    <t>Air Quality station</t>
  </si>
  <si>
    <t>Waste Management recycling support</t>
  </si>
  <si>
    <t>Environmental Awareness campaign</t>
  </si>
  <si>
    <t>Arrive Alive Campaigns</t>
  </si>
  <si>
    <t>Environmental management plan</t>
  </si>
  <si>
    <t>Purchasing of new Command Vehicles</t>
  </si>
  <si>
    <t>Upgrading of Fire Stations</t>
  </si>
  <si>
    <t>Building of satellite Fire Stations</t>
  </si>
  <si>
    <t>Fire Services Uniform and protective clothing</t>
  </si>
  <si>
    <t>Public Participations (Imbizo)</t>
  </si>
  <si>
    <t>Sponsorship_Munghana lonene</t>
  </si>
  <si>
    <t>Women's Month</t>
  </si>
  <si>
    <t>Women's Caucus</t>
  </si>
  <si>
    <t>SAWID</t>
  </si>
  <si>
    <t>Chidren Advisory Council</t>
  </si>
  <si>
    <t>Sport Against Crime</t>
  </si>
  <si>
    <t>Farm Sport</t>
  </si>
  <si>
    <t>Arts and Culture</t>
  </si>
  <si>
    <t>External Assessment Activity</t>
  </si>
  <si>
    <t>Computerised PMS</t>
  </si>
  <si>
    <t>Communicators forum</t>
  </si>
  <si>
    <t>District Development model</t>
  </si>
  <si>
    <t>Annual report printing</t>
  </si>
  <si>
    <t>Trauma/de-briefings councelling</t>
  </si>
  <si>
    <t>End of year function</t>
  </si>
  <si>
    <t>Air - Conditioning system</t>
  </si>
  <si>
    <t>Disaster Recovery Plan (DRP) Review</t>
  </si>
  <si>
    <t>Water Shedding/ Interruptions MDM Office</t>
  </si>
  <si>
    <t>Performance Bonuses Officials</t>
  </si>
  <si>
    <t>Information systems services</t>
  </si>
  <si>
    <t>Xivulani Township establishment</t>
  </si>
  <si>
    <t>Moshupatsela Farm</t>
  </si>
  <si>
    <t xml:space="preserve">Flea Market - Facilitate and Support Wholesale Market </t>
  </si>
  <si>
    <t>Letaba show Exhibitions</t>
  </si>
  <si>
    <t>Marula Festival Exhibitions</t>
  </si>
  <si>
    <t>EPWP - Borehole Operators (291)</t>
  </si>
  <si>
    <t>Social &amp; Environment Sector (327 Beneficiaries)</t>
  </si>
  <si>
    <t>SPATIAL PLANNING 031</t>
  </si>
  <si>
    <t>District Aids Council</t>
  </si>
  <si>
    <t>Energy Saving Plan</t>
  </si>
  <si>
    <t>Exploration of renewable energy source</t>
  </si>
  <si>
    <t>Disaster management Awareness Campaigns</t>
  </si>
  <si>
    <t>Disaster Risk Reduction School Competition</t>
  </si>
  <si>
    <t>Repayment of Debt - GTM</t>
  </si>
  <si>
    <t>Repayment of Debt - GLM</t>
  </si>
  <si>
    <t>Repayment of Debt - MLM</t>
  </si>
  <si>
    <t>Repayment of Debt - GGM</t>
  </si>
  <si>
    <t>Purchase of graders</t>
  </si>
  <si>
    <t>Installation and repairs of Bulk Water Meters</t>
  </si>
  <si>
    <t>Rural Household Sanitation  (MLM)</t>
  </si>
  <si>
    <t>Income forgone</t>
  </si>
  <si>
    <t>Refubishment and upgrading of internal water reticulation network and borehole in mokwasele</t>
  </si>
  <si>
    <t>Refubishment, rehabilitation and upgrading of internal water reticulation network and development of borehole in kuranta village</t>
  </si>
  <si>
    <t>Refurbishment, rehabilitation and upgrading water reticulation network in mariveni phase 2</t>
  </si>
  <si>
    <t>Lulekani Water Scheme Benfarm</t>
  </si>
  <si>
    <t>Protective clothing</t>
  </si>
  <si>
    <t xml:space="preserve">Relocation </t>
  </si>
  <si>
    <t>SPECIAL ADJUSTMENT 2020/2021</t>
  </si>
  <si>
    <t>Electrical Transformer(Boreholes)</t>
  </si>
  <si>
    <t>COUNCIL 001</t>
  </si>
  <si>
    <t>CFO 020</t>
  </si>
  <si>
    <t>Contracted services</t>
  </si>
  <si>
    <t>Surplus/Deficit</t>
  </si>
  <si>
    <t>DIFFERENCE</t>
  </si>
  <si>
    <t>MUNICIPAL MANAGER:005</t>
  </si>
  <si>
    <t>Adjustment 2020/2021</t>
  </si>
  <si>
    <t>DRAFT ADJUUSTMENT BUDGET</t>
  </si>
  <si>
    <t xml:space="preserve"> ADJUSTMENT 2020/2021</t>
  </si>
  <si>
    <t>YTD EXP UPTO DEC 2020 INC COMMITMENTS</t>
  </si>
  <si>
    <t>postage</t>
  </si>
  <si>
    <t>Cellphone Allowance-Director</t>
  </si>
  <si>
    <t>Salaries and Wages Director</t>
  </si>
  <si>
    <t>Car Allowances-director</t>
  </si>
  <si>
    <t>Salaries and Wages-Interns</t>
  </si>
  <si>
    <t>Salaries and Wages-CFO</t>
  </si>
  <si>
    <t>Car Allowances-CFO</t>
  </si>
  <si>
    <t>Accommodation and Travel: Incidental</t>
  </si>
  <si>
    <t xml:space="preserve">Travel Allowance </t>
  </si>
  <si>
    <t>Group insurance</t>
  </si>
  <si>
    <t>Competency Assessent</t>
  </si>
  <si>
    <t>membership fees</t>
  </si>
  <si>
    <t>Maruleng LM Ground water Augmentation</t>
  </si>
  <si>
    <t>Modjadji Water Scheme_ Mponeng Covid 19</t>
  </si>
  <si>
    <t>Refurbishment ofKampersrus booter pump station( COVID)</t>
  </si>
  <si>
    <t>Giyani Water Scheme Pipeline C and D  Makhuva</t>
  </si>
  <si>
    <t>Bolobedu Moshate Water Supply</t>
  </si>
  <si>
    <t>Upgrading of Phalaborwa Sewage Works</t>
  </si>
  <si>
    <t>Refurbishment of Kgapane Water Treatment Plant( COVID)</t>
  </si>
  <si>
    <t>standby allowance</t>
  </si>
  <si>
    <t>Weblink</t>
  </si>
  <si>
    <t>Cell</t>
  </si>
  <si>
    <t>Cellphone Allowance-MM</t>
  </si>
  <si>
    <t>housing Subsidy-mm</t>
  </si>
  <si>
    <t>car Allowances -mm</t>
  </si>
  <si>
    <t>Salaries and Wages-mm</t>
  </si>
  <si>
    <t>pension / Providen-mm</t>
  </si>
  <si>
    <t>Medical Aid-mm</t>
  </si>
  <si>
    <t>skills Development-mm</t>
  </si>
  <si>
    <t>uif-mm</t>
  </si>
  <si>
    <t>salaries and Wages-chief whip</t>
  </si>
  <si>
    <t>cellphone Allowance-chief whip</t>
  </si>
  <si>
    <t>cellphone Allowance-director</t>
  </si>
  <si>
    <t>Salaries and Wages-director</t>
  </si>
  <si>
    <t>Medical Aid-director</t>
  </si>
  <si>
    <t>Pension / Provident-Director</t>
  </si>
  <si>
    <t>Uif-Dorector</t>
  </si>
  <si>
    <t>skills Development-director</t>
  </si>
  <si>
    <t>Salaries _councillors</t>
  </si>
  <si>
    <t>Cellphone allowance-councillors</t>
  </si>
  <si>
    <t>Car Allowance-Speaker</t>
  </si>
  <si>
    <t>YTD RECEIVED</t>
  </si>
  <si>
    <t>Cell Phone Allowance-other councillors</t>
  </si>
  <si>
    <t>Locomotive Allowance-other councillors</t>
  </si>
  <si>
    <t>HUMAN RESOURCES MANAGEMENT 095</t>
  </si>
  <si>
    <t>SPECIAL ADJUSTMENT BUDGET SEPT 2020</t>
  </si>
  <si>
    <t>Gravelotte</t>
  </si>
  <si>
    <t>BPM LUS</t>
  </si>
  <si>
    <t>Sekgopo Water Supply(COVID 19)</t>
  </si>
  <si>
    <t xml:space="preserve">Approved MIG Rollover </t>
  </si>
  <si>
    <t xml:space="preserve">Approved WSIG Rollover </t>
  </si>
  <si>
    <t>Refurbishment, rehabilitation and upgrading of internal water reticulation in Makhwibidung.</t>
  </si>
  <si>
    <t>Ugrading of internal water reticulation network in Mageva village)</t>
  </si>
  <si>
    <t>Kujwana Water Supply</t>
  </si>
  <si>
    <t>Dzingidzingi Water supply</t>
  </si>
  <si>
    <t>Construction of Sewer Emergency Dam at  Tshelang_Gape  Sewer Booster Station and upgrading of the outfall sewer pipeline</t>
  </si>
  <si>
    <t>Refurbishment &amp; Upgrading of Middle Letaba WTW Scheme- Cluster 7</t>
  </si>
  <si>
    <t>Lulekani Water Scheme (COVID 19)</t>
  </si>
  <si>
    <t>Selwane Water Scheme Phase 2 (Zava) (COVID 19)</t>
  </si>
  <si>
    <t>Sefofotse to Ditshosine Bulk Water Supply (Ramaroka) - COVID 19</t>
  </si>
  <si>
    <t>Sekgopo Water Supply (COVID 19)</t>
  </si>
  <si>
    <t>Refurbishment of Kgapane Water Treatment Plant (COVID-19)</t>
  </si>
  <si>
    <t>Modjadji Water Scheme (Groundwater Augmentation) (COVID-19)</t>
  </si>
  <si>
    <t>Lephephane Bulk Water (COVID-19)</t>
  </si>
  <si>
    <t>Nkambako WTW (linking Boreholes to bulk to boost bulk water supply) (COVID -19)</t>
  </si>
  <si>
    <t>Ritavi 2 Water Scheme (COVID-19)</t>
  </si>
  <si>
    <t>Tours Water Reticulation (COVID-19)</t>
  </si>
  <si>
    <t>Thabina Regional Water Scheme (COVID-19)</t>
  </si>
  <si>
    <t>Kampersrus Bulk Water Scheme (COVID-19)</t>
  </si>
  <si>
    <t>Marulen LM Groundwater Augmentation (COVID-19)</t>
  </si>
  <si>
    <t>Upgrading of Internal Water Reticulation Network – Dzumeri Village</t>
  </si>
  <si>
    <t>SALGA1</t>
  </si>
  <si>
    <t xml:space="preserve">Apprved rollover 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</si>
  <si>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</si>
  <si>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</si>
  <si>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</si>
  <si>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</si>
  <si>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</si>
  <si>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</si>
  <si>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</si>
  <si>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</si>
  <si>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Other expenditure</t>
  </si>
  <si>
    <t>Total Expenditure</t>
  </si>
  <si>
    <t>Draft Adjustment Budget Feb 2021</t>
  </si>
  <si>
    <t>Special Adjustment Budget September 2020</t>
  </si>
  <si>
    <t>COMMUNICATIONS  CAPITAL 245</t>
  </si>
  <si>
    <t>Remote Office Connectivity</t>
  </si>
  <si>
    <t>Priners</t>
  </si>
  <si>
    <t>Mametja sekororo (RBIG)</t>
  </si>
  <si>
    <t>Regional bulk infrastructure grant-Covid</t>
  </si>
  <si>
    <t>RBIG - Mametja Sekororo _Schedule 6B)</t>
  </si>
  <si>
    <t xml:space="preserve">Allocated </t>
  </si>
  <si>
    <t xml:space="preserve">SOURCE OF FINDING </t>
  </si>
  <si>
    <t>DIFFERENCES</t>
  </si>
  <si>
    <t>Approved Rollover MIG</t>
  </si>
  <si>
    <t>Approved Rollover WSIG</t>
  </si>
  <si>
    <t>Allocation RBIG Covid</t>
  </si>
  <si>
    <t>Grant funded projects</t>
  </si>
  <si>
    <t>Own Funding</t>
  </si>
  <si>
    <t>Mametja Sekororo RWS - Refurbishment of existing water reticulation )Oaks,Finale and Santeng)</t>
  </si>
  <si>
    <t>Zava Water Supply - Refurbishment of existing reticulation and additional standpipes</t>
  </si>
  <si>
    <t>Modjadji Regional Bulk Water Supply (Groundwater augmentation to the Plant)</t>
  </si>
  <si>
    <t>Modjadji RWS - Drilling additonal boreholes and linking to storage (Femane and Ramaroka)</t>
  </si>
  <si>
    <t>Maselapata Water supply</t>
  </si>
  <si>
    <t>Bolobedu/Moshate water supply (Mabosana)</t>
  </si>
  <si>
    <t xml:space="preserve">Sekgopo Bulk Water Scheme Phase 1 </t>
  </si>
  <si>
    <t>WSIG-Schedule 6B</t>
  </si>
  <si>
    <t>RBIG Schedule 6B</t>
  </si>
  <si>
    <t>WSIG Schedule 6B</t>
  </si>
  <si>
    <t>PMU Office Space</t>
  </si>
  <si>
    <t>WSIG SCHEDULE 6B</t>
  </si>
  <si>
    <t>WSIG SCHEDULE 5B</t>
  </si>
  <si>
    <t>RBIG-COVID</t>
  </si>
  <si>
    <t>RBIG SCHEDULE 6B</t>
  </si>
  <si>
    <t>Other Income</t>
  </si>
  <si>
    <t xml:space="preserve"> ALLOCATION</t>
  </si>
  <si>
    <t>VAT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</si>
</sst>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&quot;R&quot;\ #,##0.00;[Red]&quot;R&quot;\ \-#,##0.00"/>
    <numFmt numFmtId="166" formatCode="_ * #,##0.00_ ;_ * \-#,##0.00_ ;_ * &quot;-&quot;??_ ;_ @_ "/>
    <numFmt numFmtId="167" formatCode="000"/>
    <numFmt numFmtId="168" formatCode="0000"/>
    <numFmt numFmtId="169" formatCode="_(* #,##0_);_(* \(#,##0\);_(* &quot;-&quot;??_);_(@_)"/>
    <numFmt numFmtId="170" formatCode="_ * #,##0_ ;_ * \-#,##0_ ;_ * &quot;-&quot;??_ ;_ @_ "/>
    <numFmt numFmtId="171" formatCode="&quot;R&quot;#,##0.00"/>
    <numFmt numFmtId="172" formatCode="_(* #,##0,_);_(* \(#,##0,\);_(* &quot;–&quot;?_);_(@_)"/>
  </numFmts>
  <fonts count="8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4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  <font>
      <b/>
      <sz val="36"/>
      <color theme="1"/>
      <name val="Arial"/>
      <family val="2"/>
    </font>
    <font>
      <sz val="11"/>
      <color rgb="FFFF0000"/>
      <name val="Calibri"/>
      <family val="2"/>
    </font>
    <font>
      <sz val="36"/>
      <color theme="1"/>
      <name val="Arial Rounded MT Bold"/>
      <family val="2"/>
    </font>
    <font>
      <b/>
      <sz val="11"/>
      <color rgb="FFFF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202124"/>
      <name val="Arial"/>
      <family val="2"/>
    </font>
    <font>
      <b/>
      <sz val="12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rial"/>
      <family val="2"/>
    </font>
    <font>
      <sz val="11"/>
      <color indexed="8"/>
      <name val="Calibri"/>
      <family val="2"/>
      <scheme val="minor"/>
    </font>
    <font>
      <u/>
      <sz val="8"/>
      <name val="Arial Narrow"/>
      <family val="2"/>
    </font>
    <font>
      <sz val="8"/>
      <name val="Arial Narrow"/>
      <family val="2"/>
    </font>
    <font>
      <b/>
      <u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61" applyNumberFormat="0" applyAlignment="0" applyProtection="0"/>
    <xf numFmtId="0" fontId="35" fillId="28" borderId="62" applyNumberFormat="0" applyAlignment="0" applyProtection="0"/>
    <xf numFmtId="164" fontId="3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29" borderId="0" applyNumberFormat="0" applyBorder="0" applyAlignment="0" applyProtection="0"/>
    <xf numFmtId="0" fontId="38" fillId="0" borderId="63" applyNumberFormat="0" applyFill="0" applyAlignment="0" applyProtection="0"/>
    <xf numFmtId="0" fontId="39" fillId="0" borderId="64" applyNumberFormat="0" applyFill="0" applyAlignment="0" applyProtection="0"/>
    <xf numFmtId="0" fontId="40" fillId="0" borderId="65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61" applyNumberFormat="0" applyAlignment="0" applyProtection="0"/>
    <xf numFmtId="0" fontId="42" fillId="0" borderId="66" applyNumberFormat="0" applyFill="0" applyAlignment="0" applyProtection="0"/>
    <xf numFmtId="0" fontId="43" fillId="31" borderId="0" applyNumberFormat="0" applyBorder="0" applyAlignment="0" applyProtection="0"/>
    <xf numFmtId="0" fontId="30" fillId="0" borderId="0"/>
    <xf numFmtId="0" fontId="3" fillId="32" borderId="67" applyNumberFormat="0" applyFont="0" applyAlignment="0" applyProtection="0"/>
    <xf numFmtId="0" fontId="2" fillId="32" borderId="67" applyNumberFormat="0" applyFont="0" applyAlignment="0" applyProtection="0"/>
    <xf numFmtId="0" fontId="2" fillId="32" borderId="67" applyNumberFormat="0" applyFont="0" applyAlignment="0" applyProtection="0"/>
    <xf numFmtId="0" fontId="31" fillId="32" borderId="67" applyNumberFormat="0" applyFont="0" applyAlignment="0" applyProtection="0"/>
    <xf numFmtId="0" fontId="44" fillId="27" borderId="68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69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2" borderId="67" applyNumberFormat="0" applyFont="0" applyAlignment="0" applyProtection="0"/>
    <xf numFmtId="0" fontId="1" fillId="32" borderId="67" applyNumberFormat="0" applyFont="0" applyAlignment="0" applyProtection="0"/>
    <xf numFmtId="0" fontId="1" fillId="32" borderId="67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3">
    <xf numFmtId="0" fontId="0" fillId="0" borderId="0" xfId="0"/>
    <xf numFmtId="0" fontId="0" fillId="0" borderId="1" xfId="0" applyBorder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10" fillId="0" borderId="0" xfId="0" applyFont="1"/>
    <xf numFmtId="169" fontId="18" fillId="0" borderId="0" xfId="28" applyNumberFormat="1" applyFont="1" applyBorder="1"/>
    <xf numFmtId="169" fontId="18" fillId="0" borderId="0" xfId="28" applyNumberFormat="1" applyFont="1"/>
    <xf numFmtId="169" fontId="6" fillId="0" borderId="0" xfId="28" applyNumberFormat="1" applyFont="1" applyBorder="1"/>
    <xf numFmtId="0" fontId="11" fillId="0" borderId="0" xfId="0" applyFont="1"/>
    <xf numFmtId="169" fontId="0" fillId="0" borderId="0" xfId="0" applyNumberFormat="1"/>
    <xf numFmtId="0" fontId="20" fillId="0" borderId="0" xfId="0" applyFont="1" applyBorder="1"/>
    <xf numFmtId="0" fontId="13" fillId="0" borderId="0" xfId="0" applyFont="1" applyBorder="1"/>
    <xf numFmtId="169" fontId="13" fillId="0" borderId="0" xfId="28" applyNumberFormat="1" applyFont="1" applyBorder="1"/>
    <xf numFmtId="169" fontId="19" fillId="0" borderId="0" xfId="28" applyNumberFormat="1" applyFont="1"/>
    <xf numFmtId="0" fontId="15" fillId="0" borderId="0" xfId="0" applyFont="1" applyBorder="1"/>
    <xf numFmtId="169" fontId="21" fillId="0" borderId="0" xfId="28" applyNumberFormat="1" applyFont="1"/>
    <xf numFmtId="169" fontId="16" fillId="0" borderId="0" xfId="28" applyNumberFormat="1" applyFont="1"/>
    <xf numFmtId="0" fontId="49" fillId="0" borderId="0" xfId="0" applyFont="1" applyBorder="1"/>
    <xf numFmtId="0" fontId="49" fillId="0" borderId="0" xfId="0" applyFont="1"/>
    <xf numFmtId="0" fontId="50" fillId="0" borderId="0" xfId="0" applyFont="1"/>
    <xf numFmtId="0" fontId="47" fillId="0" borderId="1" xfId="0" applyFont="1" applyBorder="1" applyAlignment="1">
      <alignment horizontal="center"/>
    </xf>
    <xf numFmtId="170" fontId="31" fillId="0" borderId="1" xfId="28" applyNumberFormat="1" applyFont="1" applyBorder="1"/>
    <xf numFmtId="170" fontId="0" fillId="0" borderId="0" xfId="0" applyNumberFormat="1"/>
    <xf numFmtId="170" fontId="31" fillId="33" borderId="1" xfId="28" applyNumberFormat="1" applyFont="1" applyFill="1" applyBorder="1"/>
    <xf numFmtId="170" fontId="47" fillId="0" borderId="1" xfId="28" applyNumberFormat="1" applyFont="1" applyBorder="1"/>
    <xf numFmtId="170" fontId="51" fillId="0" borderId="0" xfId="28" applyNumberFormat="1" applyFont="1"/>
    <xf numFmtId="170" fontId="31" fillId="0" borderId="1" xfId="28" applyNumberFormat="1" applyFont="1" applyBorder="1" applyAlignment="1">
      <alignment horizontal="center"/>
    </xf>
    <xf numFmtId="170" fontId="31" fillId="0" borderId="0" xfId="28" applyNumberFormat="1" applyFont="1" applyBorder="1" applyAlignment="1"/>
    <xf numFmtId="0" fontId="11" fillId="0" borderId="0" xfId="0" applyFont="1" applyBorder="1"/>
    <xf numFmtId="0" fontId="52" fillId="0" borderId="0" xfId="0" applyFont="1"/>
    <xf numFmtId="0" fontId="53" fillId="0" borderId="0" xfId="0" applyFont="1"/>
    <xf numFmtId="0" fontId="48" fillId="0" borderId="0" xfId="0" applyFont="1" applyBorder="1"/>
    <xf numFmtId="0" fontId="54" fillId="0" borderId="0" xfId="0" applyFont="1" applyBorder="1"/>
    <xf numFmtId="9" fontId="47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left" indent="2"/>
    </xf>
    <xf numFmtId="0" fontId="4" fillId="0" borderId="1" xfId="0" applyFont="1" applyBorder="1" applyAlignment="1">
      <alignment horizontal="left"/>
    </xf>
    <xf numFmtId="169" fontId="6" fillId="0" borderId="1" xfId="28" applyNumberFormat="1" applyFont="1" applyBorder="1" applyAlignment="1">
      <alignment horizontal="center"/>
    </xf>
    <xf numFmtId="167" fontId="0" fillId="0" borderId="1" xfId="0" applyNumberFormat="1" applyBorder="1"/>
    <xf numFmtId="168" fontId="0" fillId="0" borderId="1" xfId="0" applyNumberFormat="1" applyBorder="1"/>
    <xf numFmtId="169" fontId="18" fillId="0" borderId="1" xfId="28" applyNumberFormat="1" applyFont="1" applyBorder="1"/>
    <xf numFmtId="169" fontId="20" fillId="0" borderId="1" xfId="28" applyNumberFormat="1" applyFont="1" applyBorder="1"/>
    <xf numFmtId="0" fontId="4" fillId="0" borderId="1" xfId="0" applyFont="1" applyBorder="1"/>
    <xf numFmtId="169" fontId="15" fillId="0" borderId="1" xfId="28" applyNumberFormat="1" applyFont="1" applyBorder="1" applyAlignment="1">
      <alignment horizontal="center"/>
    </xf>
    <xf numFmtId="169" fontId="13" fillId="0" borderId="1" xfId="28" applyNumberFormat="1" applyFont="1" applyBorder="1"/>
    <xf numFmtId="169" fontId="19" fillId="0" borderId="1" xfId="28" applyNumberFormat="1" applyFont="1" applyBorder="1"/>
    <xf numFmtId="167" fontId="12" fillId="0" borderId="1" xfId="0" applyNumberFormat="1" applyFont="1" applyBorder="1"/>
    <xf numFmtId="169" fontId="12" fillId="0" borderId="1" xfId="28" applyNumberFormat="1" applyFont="1" applyBorder="1"/>
    <xf numFmtId="167" fontId="49" fillId="0" borderId="1" xfId="0" applyNumberFormat="1" applyFont="1" applyBorder="1"/>
    <xf numFmtId="168" fontId="49" fillId="0" borderId="1" xfId="0" applyNumberFormat="1" applyFont="1" applyBorder="1"/>
    <xf numFmtId="0" fontId="49" fillId="0" borderId="1" xfId="0" applyFont="1" applyBorder="1"/>
    <xf numFmtId="169" fontId="11" fillId="0" borderId="1" xfId="28" applyNumberFormat="1" applyFont="1" applyBorder="1"/>
    <xf numFmtId="169" fontId="11" fillId="0" borderId="1" xfId="0" applyNumberFormat="1" applyFont="1" applyBorder="1"/>
    <xf numFmtId="167" fontId="11" fillId="0" borderId="1" xfId="0" applyNumberFormat="1" applyFont="1" applyBorder="1"/>
    <xf numFmtId="168" fontId="11" fillId="0" borderId="1" xfId="0" applyNumberFormat="1" applyFont="1" applyBorder="1"/>
    <xf numFmtId="0" fontId="11" fillId="0" borderId="1" xfId="0" applyFont="1" applyBorder="1"/>
    <xf numFmtId="167" fontId="48" fillId="0" borderId="1" xfId="0" applyNumberFormat="1" applyFont="1" applyBorder="1"/>
    <xf numFmtId="168" fontId="48" fillId="0" borderId="1" xfId="0" applyNumberFormat="1" applyFont="1" applyBorder="1"/>
    <xf numFmtId="0" fontId="48" fillId="0" borderId="1" xfId="0" applyFont="1" applyBorder="1"/>
    <xf numFmtId="169" fontId="54" fillId="0" borderId="1" xfId="28" applyNumberFormat="1" applyFont="1" applyBorder="1"/>
    <xf numFmtId="0" fontId="13" fillId="0" borderId="1" xfId="0" applyFont="1" applyBorder="1"/>
    <xf numFmtId="0" fontId="2" fillId="0" borderId="1" xfId="0" applyFont="1" applyBorder="1"/>
    <xf numFmtId="0" fontId="13" fillId="0" borderId="1" xfId="0" applyFont="1" applyBorder="1" applyAlignment="1">
      <alignment horizontal="left"/>
    </xf>
    <xf numFmtId="169" fontId="11" fillId="0" borderId="0" xfId="28" applyNumberFormat="1" applyFont="1"/>
    <xf numFmtId="169" fontId="49" fillId="0" borderId="0" xfId="28" applyNumberFormat="1" applyFont="1"/>
    <xf numFmtId="0" fontId="55" fillId="0" borderId="0" xfId="0" applyFont="1" applyAlignment="1">
      <alignment horizontal="center" readingOrder="1"/>
    </xf>
    <xf numFmtId="169" fontId="6" fillId="0" borderId="1" xfId="28" applyNumberFormat="1" applyFont="1" applyBorder="1" applyAlignment="1">
      <alignment horizontal="center" wrapText="1"/>
    </xf>
    <xf numFmtId="167" fontId="54" fillId="0" borderId="1" xfId="0" applyNumberFormat="1" applyFont="1" applyBorder="1"/>
    <xf numFmtId="168" fontId="54" fillId="0" borderId="1" xfId="0" applyNumberFormat="1" applyFont="1" applyBorder="1"/>
    <xf numFmtId="0" fontId="54" fillId="0" borderId="1" xfId="0" applyFont="1" applyBorder="1"/>
    <xf numFmtId="0" fontId="47" fillId="0" borderId="0" xfId="0" applyFont="1" applyBorder="1"/>
    <xf numFmtId="0" fontId="47" fillId="0" borderId="0" xfId="0" applyFont="1"/>
    <xf numFmtId="0" fontId="48" fillId="0" borderId="0" xfId="0" applyFont="1"/>
    <xf numFmtId="168" fontId="0" fillId="34" borderId="1" xfId="0" applyNumberFormat="1" applyFill="1" applyBorder="1"/>
    <xf numFmtId="168" fontId="12" fillId="34" borderId="1" xfId="0" applyNumberFormat="1" applyFont="1" applyFill="1" applyBorder="1"/>
    <xf numFmtId="168" fontId="11" fillId="34" borderId="1" xfId="0" applyNumberFormat="1" applyFont="1" applyFill="1" applyBorder="1"/>
    <xf numFmtId="0" fontId="0" fillId="34" borderId="0" xfId="0" applyFill="1"/>
    <xf numFmtId="0" fontId="0" fillId="35" borderId="0" xfId="0" applyFill="1" applyBorder="1"/>
    <xf numFmtId="167" fontId="4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9" fontId="31" fillId="0" borderId="0" xfId="28" applyNumberFormat="1" applyFont="1"/>
    <xf numFmtId="169" fontId="48" fillId="0" borderId="0" xfId="28" applyNumberFormat="1" applyFont="1"/>
    <xf numFmtId="169" fontId="48" fillId="0" borderId="0" xfId="0" applyNumberFormat="1" applyFont="1"/>
    <xf numFmtId="169" fontId="56" fillId="0" borderId="1" xfId="28" applyNumberFormat="1" applyFont="1" applyBorder="1" applyAlignment="1">
      <alignment horizontal="center" wrapText="1"/>
    </xf>
    <xf numFmtId="169" fontId="11" fillId="0" borderId="0" xfId="28" applyNumberFormat="1" applyFont="1" applyBorder="1"/>
    <xf numFmtId="168" fontId="0" fillId="35" borderId="1" xfId="0" applyNumberFormat="1" applyFill="1" applyBorder="1"/>
    <xf numFmtId="168" fontId="12" fillId="35" borderId="1" xfId="0" applyNumberFormat="1" applyFont="1" applyFill="1" applyBorder="1"/>
    <xf numFmtId="0" fontId="11" fillId="35" borderId="1" xfId="0" applyFont="1" applyFill="1" applyBorder="1"/>
    <xf numFmtId="169" fontId="13" fillId="35" borderId="1" xfId="28" applyNumberFormat="1" applyFont="1" applyFill="1" applyBorder="1"/>
    <xf numFmtId="168" fontId="11" fillId="35" borderId="1" xfId="0" applyNumberFormat="1" applyFont="1" applyFill="1" applyBorder="1"/>
    <xf numFmtId="169" fontId="11" fillId="35" borderId="1" xfId="28" applyNumberFormat="1" applyFont="1" applyFill="1" applyBorder="1"/>
    <xf numFmtId="0" fontId="11" fillId="35" borderId="0" xfId="0" applyFont="1" applyFill="1" applyBorder="1"/>
    <xf numFmtId="0" fontId="49" fillId="35" borderId="0" xfId="0" applyFont="1" applyFill="1" applyBorder="1"/>
    <xf numFmtId="167" fontId="49" fillId="35" borderId="1" xfId="0" applyNumberFormat="1" applyFont="1" applyFill="1" applyBorder="1"/>
    <xf numFmtId="168" fontId="49" fillId="35" borderId="1" xfId="0" applyNumberFormat="1" applyFont="1" applyFill="1" applyBorder="1"/>
    <xf numFmtId="0" fontId="49" fillId="35" borderId="1" xfId="0" applyFont="1" applyFill="1" applyBorder="1"/>
    <xf numFmtId="0" fontId="49" fillId="35" borderId="0" xfId="0" applyFont="1" applyFill="1"/>
    <xf numFmtId="169" fontId="47" fillId="0" borderId="0" xfId="28" applyNumberFormat="1" applyFont="1"/>
    <xf numFmtId="169" fontId="9" fillId="0" borderId="2" xfId="28" applyNumberFormat="1" applyFont="1" applyBorder="1" applyAlignment="1">
      <alignment horizontal="center"/>
    </xf>
    <xf numFmtId="169" fontId="31" fillId="0" borderId="3" xfId="28" applyNumberFormat="1" applyFont="1" applyBorder="1"/>
    <xf numFmtId="169" fontId="5" fillId="0" borderId="4" xfId="28" applyNumberFormat="1" applyFont="1" applyBorder="1"/>
    <xf numFmtId="169" fontId="31" fillId="0" borderId="1" xfId="28" applyNumberFormat="1" applyFont="1" applyBorder="1"/>
    <xf numFmtId="169" fontId="14" fillId="0" borderId="4" xfId="28" applyNumberFormat="1" applyFont="1" applyBorder="1"/>
    <xf numFmtId="169" fontId="31" fillId="0" borderId="0" xfId="28" applyNumberFormat="1" applyFont="1"/>
    <xf numFmtId="169" fontId="15" fillId="0" borderId="0" xfId="28" applyNumberFormat="1" applyFont="1" applyBorder="1"/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169" fontId="23" fillId="0" borderId="5" xfId="28" applyNumberFormat="1" applyFont="1" applyBorder="1" applyAlignment="1">
      <alignment horizontal="center" wrapText="1"/>
    </xf>
    <xf numFmtId="169" fontId="23" fillId="0" borderId="5" xfId="28" applyNumberFormat="1" applyFont="1" applyBorder="1" applyAlignment="1">
      <alignment horizontal="center"/>
    </xf>
    <xf numFmtId="0" fontId="22" fillId="0" borderId="5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9" fontId="22" fillId="0" borderId="10" xfId="28" applyNumberFormat="1" applyFont="1" applyBorder="1" applyAlignment="1">
      <alignment horizontal="center"/>
    </xf>
    <xf numFmtId="169" fontId="22" fillId="0" borderId="10" xfId="28" applyNumberFormat="1" applyFont="1" applyBorder="1" applyAlignment="1">
      <alignment horizontal="center" wrapText="1"/>
    </xf>
    <xf numFmtId="169" fontId="24" fillId="0" borderId="10" xfId="28" applyNumberFormat="1" applyFont="1" applyBorder="1"/>
    <xf numFmtId="0" fontId="25" fillId="0" borderId="11" xfId="0" applyFont="1" applyBorder="1"/>
    <xf numFmtId="169" fontId="25" fillId="0" borderId="1" xfId="28" applyNumberFormat="1" applyFont="1" applyBorder="1"/>
    <xf numFmtId="0" fontId="24" fillId="0" borderId="11" xfId="0" applyFont="1" applyBorder="1"/>
    <xf numFmtId="169" fontId="24" fillId="0" borderId="1" xfId="28" applyNumberFormat="1" applyFont="1" applyBorder="1"/>
    <xf numFmtId="164" fontId="57" fillId="0" borderId="1" xfId="28" applyFont="1" applyBorder="1"/>
    <xf numFmtId="0" fontId="25" fillId="0" borderId="12" xfId="0" applyFont="1" applyBorder="1"/>
    <xf numFmtId="164" fontId="57" fillId="0" borderId="13" xfId="28" applyFont="1" applyBorder="1"/>
    <xf numFmtId="169" fontId="25" fillId="0" borderId="13" xfId="28" applyNumberFormat="1" applyFont="1" applyBorder="1"/>
    <xf numFmtId="0" fontId="26" fillId="0" borderId="14" xfId="0" applyFont="1" applyBorder="1"/>
    <xf numFmtId="169" fontId="26" fillId="0" borderId="15" xfId="28" applyNumberFormat="1" applyFont="1" applyBorder="1"/>
    <xf numFmtId="0" fontId="25" fillId="0" borderId="16" xfId="0" applyFont="1" applyFill="1" applyBorder="1"/>
    <xf numFmtId="164" fontId="57" fillId="0" borderId="0" xfId="28" applyFont="1"/>
    <xf numFmtId="0" fontId="58" fillId="0" borderId="0" xfId="0" applyFont="1"/>
    <xf numFmtId="169" fontId="58" fillId="0" borderId="0" xfId="28" applyNumberFormat="1" applyFont="1"/>
    <xf numFmtId="169" fontId="57" fillId="0" borderId="0" xfId="28" applyNumberFormat="1" applyFont="1" applyBorder="1"/>
    <xf numFmtId="169" fontId="58" fillId="0" borderId="0" xfId="0" applyNumberFormat="1" applyFont="1"/>
    <xf numFmtId="0" fontId="59" fillId="0" borderId="0" xfId="0" applyFont="1"/>
    <xf numFmtId="0" fontId="60" fillId="0" borderId="0" xfId="0" applyFont="1" applyBorder="1"/>
    <xf numFmtId="169" fontId="49" fillId="35" borderId="1" xfId="0" applyNumberFormat="1" applyFont="1" applyFill="1" applyBorder="1"/>
    <xf numFmtId="0" fontId="54" fillId="35" borderId="0" xfId="0" applyFont="1" applyFill="1" applyBorder="1"/>
    <xf numFmtId="0" fontId="51" fillId="0" borderId="0" xfId="0" applyFont="1" applyBorder="1"/>
    <xf numFmtId="169" fontId="51" fillId="0" borderId="0" xfId="0" applyNumberFormat="1" applyFont="1" applyBorder="1"/>
    <xf numFmtId="0" fontId="13" fillId="35" borderId="1" xfId="0" applyFont="1" applyFill="1" applyBorder="1"/>
    <xf numFmtId="169" fontId="11" fillId="35" borderId="1" xfId="0" applyNumberFormat="1" applyFont="1" applyFill="1" applyBorder="1"/>
    <xf numFmtId="0" fontId="60" fillId="35" borderId="1" xfId="0" applyFont="1" applyFill="1" applyBorder="1"/>
    <xf numFmtId="0" fontId="15" fillId="35" borderId="0" xfId="0" applyFont="1" applyFill="1" applyBorder="1"/>
    <xf numFmtId="167" fontId="13" fillId="0" borderId="1" xfId="0" applyNumberFormat="1" applyFont="1" applyBorder="1"/>
    <xf numFmtId="168" fontId="13" fillId="0" borderId="1" xfId="0" applyNumberFormat="1" applyFont="1" applyBorder="1"/>
    <xf numFmtId="167" fontId="49" fillId="0" borderId="0" xfId="0" applyNumberFormat="1" applyFont="1" applyBorder="1"/>
    <xf numFmtId="168" fontId="49" fillId="0" borderId="0" xfId="0" applyNumberFormat="1" applyFont="1" applyBorder="1"/>
    <xf numFmtId="167" fontId="13" fillId="35" borderId="1" xfId="0" applyNumberFormat="1" applyFont="1" applyFill="1" applyBorder="1"/>
    <xf numFmtId="169" fontId="11" fillId="35" borderId="1" xfId="28" applyNumberFormat="1" applyFont="1" applyFill="1" applyBorder="1" applyAlignment="1">
      <alignment horizontal="center" wrapText="1"/>
    </xf>
    <xf numFmtId="169" fontId="15" fillId="35" borderId="0" xfId="28" applyNumberFormat="1" applyFont="1" applyFill="1"/>
    <xf numFmtId="169" fontId="13" fillId="35" borderId="0" xfId="28" applyNumberFormat="1" applyFont="1" applyFill="1" applyBorder="1"/>
    <xf numFmtId="169" fontId="11" fillId="35" borderId="0" xfId="28" applyNumberFormat="1" applyFont="1" applyFill="1" applyBorder="1"/>
    <xf numFmtId="169" fontId="11" fillId="35" borderId="0" xfId="28" applyNumberFormat="1" applyFont="1" applyFill="1"/>
    <xf numFmtId="0" fontId="26" fillId="0" borderId="5" xfId="0" applyNumberFormat="1" applyFont="1" applyBorder="1" applyAlignment="1">
      <alignment horizontal="center"/>
    </xf>
    <xf numFmtId="0" fontId="15" fillId="35" borderId="0" xfId="0" applyFont="1" applyFill="1"/>
    <xf numFmtId="0" fontId="13" fillId="35" borderId="1" xfId="0" applyFont="1" applyFill="1" applyBorder="1" applyAlignment="1">
      <alignment horizontal="left"/>
    </xf>
    <xf numFmtId="0" fontId="13" fillId="35" borderId="0" xfId="0" applyFont="1" applyFill="1" applyBorder="1"/>
    <xf numFmtId="0" fontId="26" fillId="0" borderId="5" xfId="28" applyNumberFormat="1" applyFont="1" applyBorder="1" applyAlignment="1">
      <alignment horizontal="center"/>
    </xf>
    <xf numFmtId="169" fontId="11" fillId="0" borderId="1" xfId="28" applyNumberFormat="1" applyFont="1" applyFill="1" applyBorder="1"/>
    <xf numFmtId="0" fontId="13" fillId="0" borderId="17" xfId="0" applyFont="1" applyBorder="1" applyAlignment="1">
      <alignment horizontal="left"/>
    </xf>
    <xf numFmtId="169" fontId="11" fillId="0" borderId="1" xfId="28" applyNumberFormat="1" applyFont="1" applyFill="1" applyBorder="1" applyAlignment="1">
      <alignment horizontal="center" wrapText="1"/>
    </xf>
    <xf numFmtId="0" fontId="13" fillId="35" borderId="4" xfId="0" applyFont="1" applyFill="1" applyBorder="1"/>
    <xf numFmtId="0" fontId="59" fillId="0" borderId="1" xfId="0" applyFont="1" applyBorder="1"/>
    <xf numFmtId="169" fontId="15" fillId="35" borderId="0" xfId="28" applyNumberFormat="1" applyFont="1" applyFill="1" applyBorder="1"/>
    <xf numFmtId="169" fontId="17" fillId="35" borderId="0" xfId="28" applyNumberFormat="1" applyFont="1" applyFill="1"/>
    <xf numFmtId="169" fontId="49" fillId="0" borderId="1" xfId="28" applyNumberFormat="1" applyFont="1" applyBorder="1"/>
    <xf numFmtId="0" fontId="17" fillId="35" borderId="0" xfId="0" applyFont="1" applyFill="1"/>
    <xf numFmtId="0" fontId="60" fillId="35" borderId="0" xfId="0" applyFont="1" applyFill="1" applyBorder="1"/>
    <xf numFmtId="0" fontId="11" fillId="35" borderId="4" xfId="0" applyFont="1" applyFill="1" applyBorder="1"/>
    <xf numFmtId="0" fontId="11" fillId="35" borderId="0" xfId="0" applyFont="1" applyFill="1"/>
    <xf numFmtId="169" fontId="31" fillId="0" borderId="1" xfId="28" applyNumberFormat="1" applyFont="1" applyBorder="1" applyAlignment="1">
      <alignment horizontal="right"/>
    </xf>
    <xf numFmtId="165" fontId="49" fillId="0" borderId="1" xfId="29" applyNumberFormat="1" applyFont="1" applyBorder="1"/>
    <xf numFmtId="166" fontId="49" fillId="0" borderId="1" xfId="29" applyFont="1" applyBorder="1"/>
    <xf numFmtId="0" fontId="49" fillId="35" borderId="1" xfId="0" applyFont="1" applyFill="1" applyBorder="1" applyAlignment="1">
      <alignment wrapText="1"/>
    </xf>
    <xf numFmtId="0" fontId="11" fillId="35" borderId="1" xfId="0" applyFont="1" applyFill="1" applyBorder="1" applyAlignment="1">
      <alignment wrapText="1"/>
    </xf>
    <xf numFmtId="169" fontId="31" fillId="0" borderId="0" xfId="28" applyNumberFormat="1" applyFont="1"/>
    <xf numFmtId="169" fontId="11" fillId="35" borderId="17" xfId="28" applyNumberFormat="1" applyFont="1" applyFill="1" applyBorder="1"/>
    <xf numFmtId="169" fontId="11" fillId="0" borderId="17" xfId="28" applyNumberFormat="1" applyFont="1" applyBorder="1"/>
    <xf numFmtId="169" fontId="13" fillId="0" borderId="17" xfId="28" applyNumberFormat="1" applyFont="1" applyBorder="1"/>
    <xf numFmtId="169" fontId="31" fillId="0" borderId="1" xfId="28" applyNumberFormat="1" applyFont="1" applyBorder="1"/>
    <xf numFmtId="0" fontId="26" fillId="0" borderId="11" xfId="0" applyFont="1" applyBorder="1"/>
    <xf numFmtId="169" fontId="47" fillId="0" borderId="0" xfId="0" applyNumberFormat="1" applyFont="1"/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5" fillId="0" borderId="22" xfId="0" applyFont="1" applyBorder="1"/>
    <xf numFmtId="0" fontId="24" fillId="0" borderId="22" xfId="0" applyFont="1" applyBorder="1"/>
    <xf numFmtId="0" fontId="59" fillId="0" borderId="17" xfId="0" applyFont="1" applyBorder="1"/>
    <xf numFmtId="0" fontId="25" fillId="0" borderId="23" xfId="0" applyFont="1" applyBorder="1"/>
    <xf numFmtId="0" fontId="61" fillId="0" borderId="1" xfId="0" applyFont="1" applyBorder="1"/>
    <xf numFmtId="169" fontId="31" fillId="0" borderId="0" xfId="28" applyNumberFormat="1" applyFont="1"/>
    <xf numFmtId="169" fontId="61" fillId="0" borderId="1" xfId="28" applyNumberFormat="1" applyFont="1" applyBorder="1"/>
    <xf numFmtId="169" fontId="31" fillId="0" borderId="1" xfId="28" applyNumberFormat="1" applyFont="1" applyBorder="1"/>
    <xf numFmtId="169" fontId="47" fillId="0" borderId="17" xfId="28" applyNumberFormat="1" applyFont="1" applyBorder="1"/>
    <xf numFmtId="169" fontId="47" fillId="0" borderId="18" xfId="28" applyNumberFormat="1" applyFont="1" applyBorder="1"/>
    <xf numFmtId="169" fontId="57" fillId="0" borderId="18" xfId="28" applyNumberFormat="1" applyFont="1" applyBorder="1"/>
    <xf numFmtId="0" fontId="61" fillId="0" borderId="0" xfId="0" applyFont="1"/>
    <xf numFmtId="167" fontId="49" fillId="0" borderId="1" xfId="0" quotePrefix="1" applyNumberFormat="1" applyFont="1" applyBorder="1"/>
    <xf numFmtId="167" fontId="11" fillId="0" borderId="1" xfId="0" quotePrefix="1" applyNumberFormat="1" applyFont="1" applyBorder="1"/>
    <xf numFmtId="0" fontId="26" fillId="0" borderId="20" xfId="0" applyNumberFormat="1" applyFont="1" applyBorder="1" applyAlignment="1">
      <alignment horizontal="center"/>
    </xf>
    <xf numFmtId="169" fontId="60" fillId="0" borderId="0" xfId="28" applyNumberFormat="1" applyFont="1"/>
    <xf numFmtId="169" fontId="59" fillId="0" borderId="0" xfId="0" applyNumberFormat="1" applyFont="1"/>
    <xf numFmtId="169" fontId="16" fillId="35" borderId="0" xfId="28" applyNumberFormat="1" applyFont="1" applyFill="1"/>
    <xf numFmtId="169" fontId="49" fillId="35" borderId="3" xfId="28" applyNumberFormat="1" applyFont="1" applyFill="1" applyBorder="1"/>
    <xf numFmtId="169" fontId="49" fillId="35" borderId="1" xfId="28" applyNumberFormat="1" applyFont="1" applyFill="1" applyBorder="1"/>
    <xf numFmtId="0" fontId="48" fillId="35" borderId="0" xfId="0" applyFont="1" applyFill="1" applyBorder="1"/>
    <xf numFmtId="169" fontId="60" fillId="0" borderId="1" xfId="28" applyNumberFormat="1" applyFont="1" applyBorder="1"/>
    <xf numFmtId="0" fontId="26" fillId="0" borderId="24" xfId="0" applyNumberFormat="1" applyFont="1" applyBorder="1" applyAlignment="1">
      <alignment horizontal="center"/>
    </xf>
    <xf numFmtId="0" fontId="26" fillId="35" borderId="1" xfId="0" applyNumberFormat="1" applyFont="1" applyFill="1" applyBorder="1" applyAlignment="1">
      <alignment horizontal="center"/>
    </xf>
    <xf numFmtId="164" fontId="60" fillId="0" borderId="1" xfId="28" applyFont="1" applyBorder="1" applyAlignment="1">
      <alignment wrapText="1"/>
    </xf>
    <xf numFmtId="169" fontId="13" fillId="35" borderId="17" xfId="28" applyNumberFormat="1" applyFont="1" applyFill="1" applyBorder="1"/>
    <xf numFmtId="0" fontId="20" fillId="0" borderId="1" xfId="0" applyFont="1" applyBorder="1"/>
    <xf numFmtId="0" fontId="60" fillId="35" borderId="0" xfId="0" applyFont="1" applyFill="1"/>
    <xf numFmtId="164" fontId="11" fillId="35" borderId="0" xfId="28" applyFont="1" applyFill="1"/>
    <xf numFmtId="164" fontId="17" fillId="35" borderId="0" xfId="28" applyFont="1" applyFill="1"/>
    <xf numFmtId="169" fontId="49" fillId="0" borderId="17" xfId="28" applyNumberFormat="1" applyFont="1" applyBorder="1"/>
    <xf numFmtId="169" fontId="49" fillId="0" borderId="1" xfId="28" applyNumberFormat="1" applyFont="1" applyBorder="1" applyAlignment="1">
      <alignment horizontal="right"/>
    </xf>
    <xf numFmtId="169" fontId="31" fillId="0" borderId="17" xfId="28" applyNumberFormat="1" applyFont="1" applyBorder="1"/>
    <xf numFmtId="169" fontId="49" fillId="35" borderId="0" xfId="28" applyNumberFormat="1" applyFont="1" applyFill="1"/>
    <xf numFmtId="0" fontId="60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6" fontId="6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3" xfId="0" applyFont="1" applyBorder="1"/>
    <xf numFmtId="169" fontId="11" fillId="0" borderId="25" xfId="28" applyNumberFormat="1" applyFont="1" applyBorder="1"/>
    <xf numFmtId="0" fontId="26" fillId="0" borderId="1" xfId="0" applyNumberFormat="1" applyFont="1" applyBorder="1" applyAlignment="1">
      <alignment horizontal="center"/>
    </xf>
    <xf numFmtId="0" fontId="13" fillId="35" borderId="17" xfId="0" applyFont="1" applyFill="1" applyBorder="1" applyAlignment="1">
      <alignment horizontal="left"/>
    </xf>
    <xf numFmtId="0" fontId="22" fillId="0" borderId="20" xfId="0" applyNumberFormat="1" applyFont="1" applyBorder="1" applyAlignment="1">
      <alignment horizontal="center"/>
    </xf>
    <xf numFmtId="169" fontId="10" fillId="0" borderId="0" xfId="28" applyNumberFormat="1" applyFont="1"/>
    <xf numFmtId="169" fontId="31" fillId="0" borderId="0" xfId="28" applyNumberFormat="1" applyFont="1"/>
    <xf numFmtId="169" fontId="24" fillId="0" borderId="26" xfId="28" applyNumberFormat="1" applyFont="1" applyBorder="1"/>
    <xf numFmtId="169" fontId="25" fillId="0" borderId="17" xfId="28" applyNumberFormat="1" applyFont="1" applyBorder="1"/>
    <xf numFmtId="169" fontId="24" fillId="0" borderId="17" xfId="28" applyNumberFormat="1" applyFont="1" applyBorder="1"/>
    <xf numFmtId="169" fontId="25" fillId="0" borderId="27" xfId="28" applyNumberFormat="1" applyFont="1" applyBorder="1"/>
    <xf numFmtId="169" fontId="22" fillId="0" borderId="5" xfId="28" applyNumberFormat="1" applyFont="1" applyFill="1" applyBorder="1" applyAlignment="1">
      <alignment horizontal="center"/>
    </xf>
    <xf numFmtId="169" fontId="31" fillId="0" borderId="1" xfId="28" applyNumberFormat="1" applyFont="1" applyBorder="1"/>
    <xf numFmtId="0" fontId="26" fillId="0" borderId="8" xfId="0" applyNumberFormat="1" applyFont="1" applyBorder="1" applyAlignment="1">
      <alignment horizontal="center"/>
    </xf>
    <xf numFmtId="169" fontId="11" fillId="0" borderId="17" xfId="28" applyNumberFormat="1" applyFont="1" applyFill="1" applyBorder="1"/>
    <xf numFmtId="9" fontId="60" fillId="0" borderId="0" xfId="0" applyNumberFormat="1" applyFont="1" applyBorder="1"/>
    <xf numFmtId="164" fontId="49" fillId="0" borderId="0" xfId="28" applyFont="1" applyBorder="1"/>
    <xf numFmtId="169" fontId="13" fillId="0" borderId="0" xfId="28" applyNumberFormat="1" applyFont="1" applyFill="1" applyBorder="1"/>
    <xf numFmtId="169" fontId="11" fillId="0" borderId="0" xfId="28" applyNumberFormat="1" applyFont="1" applyFill="1" applyBorder="1"/>
    <xf numFmtId="0" fontId="26" fillId="0" borderId="1" xfId="0" applyNumberFormat="1" applyFont="1" applyFill="1" applyBorder="1" applyAlignment="1">
      <alignment horizontal="center"/>
    </xf>
    <xf numFmtId="169" fontId="13" fillId="0" borderId="4" xfId="28" applyNumberFormat="1" applyFont="1" applyFill="1" applyBorder="1"/>
    <xf numFmtId="169" fontId="13" fillId="0" borderId="1" xfId="28" applyNumberFormat="1" applyFont="1" applyFill="1" applyBorder="1"/>
    <xf numFmtId="169" fontId="11" fillId="0" borderId="0" xfId="28" applyNumberFormat="1" applyFont="1" applyFill="1"/>
    <xf numFmtId="171" fontId="11" fillId="35" borderId="1" xfId="28" applyNumberFormat="1" applyFont="1" applyFill="1" applyBorder="1" applyAlignment="1">
      <alignment horizontal="right"/>
    </xf>
    <xf numFmtId="171" fontId="13" fillId="35" borderId="1" xfId="28" applyNumberFormat="1" applyFont="1" applyFill="1" applyBorder="1" applyAlignment="1">
      <alignment horizontal="right"/>
    </xf>
    <xf numFmtId="171" fontId="11" fillId="35" borderId="1" xfId="28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/>
    <xf numFmtId="0" fontId="49" fillId="0" borderId="1" xfId="0" applyFont="1" applyFill="1" applyBorder="1"/>
    <xf numFmtId="169" fontId="49" fillId="0" borderId="1" xfId="29" applyNumberFormat="1" applyFont="1" applyFill="1" applyBorder="1"/>
    <xf numFmtId="169" fontId="49" fillId="0" borderId="28" xfId="29" applyNumberFormat="1" applyFont="1" applyFill="1" applyBorder="1"/>
    <xf numFmtId="169" fontId="49" fillId="0" borderId="1" xfId="29" applyNumberFormat="1" applyFont="1" applyFill="1" applyBorder="1" applyAlignment="1">
      <alignment horizontal="right"/>
    </xf>
    <xf numFmtId="169" fontId="20" fillId="0" borderId="0" xfId="0" applyNumberFormat="1" applyFont="1" applyBorder="1"/>
    <xf numFmtId="169" fontId="47" fillId="0" borderId="0" xfId="28" applyNumberFormat="1" applyFont="1" applyBorder="1"/>
    <xf numFmtId="0" fontId="13" fillId="0" borderId="0" xfId="0" applyFont="1" applyBorder="1" applyAlignment="1">
      <alignment horizontal="left"/>
    </xf>
    <xf numFmtId="169" fontId="31" fillId="0" borderId="20" xfId="28" applyNumberFormat="1" applyFont="1" applyBorder="1"/>
    <xf numFmtId="169" fontId="31" fillId="0" borderId="8" xfId="28" applyNumberFormat="1" applyFont="1" applyBorder="1"/>
    <xf numFmtId="169" fontId="31" fillId="0" borderId="29" xfId="28" applyNumberFormat="1" applyFont="1" applyBorder="1"/>
    <xf numFmtId="169" fontId="47" fillId="0" borderId="29" xfId="28" applyNumberFormat="1" applyFont="1" applyBorder="1"/>
    <xf numFmtId="169" fontId="47" fillId="0" borderId="30" xfId="28" applyNumberFormat="1" applyFont="1" applyBorder="1"/>
    <xf numFmtId="169" fontId="31" fillId="0" borderId="31" xfId="28" applyNumberFormat="1" applyFont="1" applyBorder="1"/>
    <xf numFmtId="169" fontId="47" fillId="0" borderId="32" xfId="28" applyNumberFormat="1" applyFont="1" applyBorder="1"/>
    <xf numFmtId="169" fontId="0" fillId="0" borderId="0" xfId="0" applyNumberFormat="1" applyBorder="1"/>
    <xf numFmtId="169" fontId="48" fillId="35" borderId="0" xfId="0" applyNumberFormat="1" applyFont="1" applyFill="1" applyBorder="1"/>
    <xf numFmtId="169" fontId="49" fillId="35" borderId="1" xfId="29" applyNumberFormat="1" applyFont="1" applyFill="1" applyBorder="1"/>
    <xf numFmtId="167" fontId="49" fillId="35" borderId="11" xfId="0" quotePrefix="1" applyNumberFormat="1" applyFont="1" applyFill="1" applyBorder="1"/>
    <xf numFmtId="0" fontId="11" fillId="0" borderId="1" xfId="0" applyFont="1" applyFill="1" applyBorder="1"/>
    <xf numFmtId="0" fontId="49" fillId="0" borderId="0" xfId="0" applyFont="1" applyFill="1" applyBorder="1"/>
    <xf numFmtId="169" fontId="49" fillId="35" borderId="1" xfId="28" applyNumberFormat="1" applyFont="1" applyFill="1" applyBorder="1" applyAlignment="1">
      <alignment horizontal="right"/>
    </xf>
    <xf numFmtId="169" fontId="47" fillId="0" borderId="8" xfId="28" applyNumberFormat="1" applyFont="1" applyBorder="1"/>
    <xf numFmtId="169" fontId="31" fillId="0" borderId="0" xfId="28" applyNumberFormat="1" applyFont="1" applyBorder="1"/>
    <xf numFmtId="169" fontId="31" fillId="0" borderId="20" xfId="28" applyNumberFormat="1" applyFont="1" applyBorder="1"/>
    <xf numFmtId="169" fontId="31" fillId="0" borderId="29" xfId="28" applyNumberFormat="1" applyFont="1" applyBorder="1"/>
    <xf numFmtId="164" fontId="5" fillId="0" borderId="11" xfId="28" applyFont="1" applyBorder="1"/>
    <xf numFmtId="164" fontId="14" fillId="0" borderId="11" xfId="28" applyFont="1" applyBorder="1"/>
    <xf numFmtId="164" fontId="13" fillId="0" borderId="0" xfId="28" applyFont="1" applyBorder="1" applyAlignment="1">
      <alignment horizontal="left"/>
    </xf>
    <xf numFmtId="164" fontId="20" fillId="0" borderId="0" xfId="28" applyFont="1" applyBorder="1"/>
    <xf numFmtId="164" fontId="31" fillId="0" borderId="0" xfId="28" applyFont="1"/>
    <xf numFmtId="164" fontId="31" fillId="0" borderId="0" xfId="28" applyFont="1"/>
    <xf numFmtId="0" fontId="49" fillId="0" borderId="33" xfId="0" applyFont="1" applyBorder="1"/>
    <xf numFmtId="169" fontId="4" fillId="0" borderId="5" xfId="28" applyNumberFormat="1" applyFont="1" applyBorder="1" applyAlignment="1">
      <alignment horizontal="center" wrapText="1"/>
    </xf>
    <xf numFmtId="0" fontId="4" fillId="35" borderId="5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47" fillId="0" borderId="34" xfId="0" applyFont="1" applyBorder="1" applyAlignment="1">
      <alignment wrapText="1"/>
    </xf>
    <xf numFmtId="169" fontId="4" fillId="0" borderId="34" xfId="28" applyNumberFormat="1" applyFont="1" applyBorder="1" applyAlignment="1">
      <alignment horizontal="center" wrapText="1"/>
    </xf>
    <xf numFmtId="169" fontId="31" fillId="0" borderId="3" xfId="28" applyNumberFormat="1" applyFont="1" applyBorder="1"/>
    <xf numFmtId="169" fontId="31" fillId="0" borderId="1" xfId="28" applyNumberFormat="1" applyFont="1" applyBorder="1"/>
    <xf numFmtId="169" fontId="49" fillId="0" borderId="33" xfId="28" applyNumberFormat="1" applyFont="1" applyBorder="1"/>
    <xf numFmtId="169" fontId="31" fillId="0" borderId="0" xfId="28" applyNumberFormat="1" applyFont="1"/>
    <xf numFmtId="169" fontId="4" fillId="0" borderId="0" xfId="28" applyNumberFormat="1" applyFo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9" fontId="4" fillId="0" borderId="35" xfId="28" applyNumberFormat="1" applyFont="1" applyBorder="1" applyAlignment="1">
      <alignment horizontal="center"/>
    </xf>
    <xf numFmtId="169" fontId="4" fillId="35" borderId="10" xfId="28" applyNumberFormat="1" applyFont="1" applyFill="1" applyBorder="1" applyAlignment="1">
      <alignment horizontal="center"/>
    </xf>
    <xf numFmtId="169" fontId="4" fillId="0" borderId="10" xfId="28" applyNumberFormat="1" applyFont="1" applyBorder="1" applyAlignment="1">
      <alignment horizontal="center"/>
    </xf>
    <xf numFmtId="169" fontId="4" fillId="0" borderId="26" xfId="28" applyNumberFormat="1" applyFont="1" applyBorder="1" applyAlignment="1">
      <alignment horizontal="center"/>
    </xf>
    <xf numFmtId="169" fontId="1" fillId="0" borderId="26" xfId="28" applyNumberFormat="1" applyFont="1" applyBorder="1"/>
    <xf numFmtId="0" fontId="0" fillId="0" borderId="3" xfId="0" applyFont="1" applyBorder="1"/>
    <xf numFmtId="0" fontId="11" fillId="0" borderId="11" xfId="0" applyFont="1" applyBorder="1"/>
    <xf numFmtId="169" fontId="11" fillId="0" borderId="4" xfId="28" applyNumberFormat="1" applyFont="1" applyBorder="1"/>
    <xf numFmtId="0" fontId="1" fillId="0" borderId="11" xfId="0" applyFont="1" applyBorder="1"/>
    <xf numFmtId="169" fontId="1" fillId="0" borderId="4" xfId="28" applyNumberFormat="1" applyFont="1" applyBorder="1"/>
    <xf numFmtId="169" fontId="1" fillId="0" borderId="1" xfId="28" applyNumberFormat="1" applyFont="1" applyBorder="1"/>
    <xf numFmtId="169" fontId="1" fillId="0" borderId="17" xfId="28" applyNumberFormat="1" applyFont="1" applyBorder="1"/>
    <xf numFmtId="0" fontId="11" fillId="35" borderId="11" xfId="0" applyFont="1" applyFill="1" applyBorder="1"/>
    <xf numFmtId="169" fontId="11" fillId="35" borderId="4" xfId="28" applyNumberFormat="1" applyFont="1" applyFill="1" applyBorder="1"/>
    <xf numFmtId="0" fontId="11" fillId="0" borderId="11" xfId="0" applyFont="1" applyFill="1" applyBorder="1"/>
    <xf numFmtId="169" fontId="11" fillId="0" borderId="4" xfId="28" applyNumberFormat="1" applyFont="1" applyFill="1" applyBorder="1"/>
    <xf numFmtId="0" fontId="0" fillId="0" borderId="1" xfId="0" applyFont="1" applyBorder="1"/>
    <xf numFmtId="0" fontId="11" fillId="0" borderId="36" xfId="0" applyFont="1" applyBorder="1"/>
    <xf numFmtId="169" fontId="11" fillId="0" borderId="37" xfId="28" applyNumberFormat="1" applyFont="1" applyBorder="1"/>
    <xf numFmtId="169" fontId="11" fillId="35" borderId="33" xfId="28" applyNumberFormat="1" applyFont="1" applyFill="1" applyBorder="1"/>
    <xf numFmtId="169" fontId="11" fillId="0" borderId="33" xfId="28" applyNumberFormat="1" applyFont="1" applyBorder="1"/>
    <xf numFmtId="169" fontId="11" fillId="0" borderId="19" xfId="28" applyNumberFormat="1" applyFont="1" applyBorder="1"/>
    <xf numFmtId="0" fontId="13" fillId="0" borderId="38" xfId="0" applyFont="1" applyBorder="1"/>
    <xf numFmtId="169" fontId="13" fillId="0" borderId="34" xfId="28" applyNumberFormat="1" applyFont="1" applyBorder="1"/>
    <xf numFmtId="169" fontId="13" fillId="0" borderId="39" xfId="28" applyNumberFormat="1" applyFont="1" applyBorder="1"/>
    <xf numFmtId="0" fontId="13" fillId="0" borderId="16" xfId="0" applyFont="1" applyBorder="1"/>
    <xf numFmtId="169" fontId="49" fillId="35" borderId="0" xfId="0" applyNumberFormat="1" applyFont="1" applyFill="1"/>
    <xf numFmtId="0" fontId="0" fillId="0" borderId="0" xfId="0" applyFont="1"/>
    <xf numFmtId="169" fontId="0" fillId="35" borderId="0" xfId="0" applyNumberFormat="1" applyFont="1" applyFill="1"/>
    <xf numFmtId="0" fontId="0" fillId="35" borderId="0" xfId="0" applyFont="1" applyFill="1"/>
    <xf numFmtId="169" fontId="47" fillId="0" borderId="0" xfId="28" applyNumberFormat="1" applyFont="1" applyFill="1" applyBorder="1"/>
    <xf numFmtId="169" fontId="31" fillId="0" borderId="25" xfId="28" applyNumberFormat="1" applyFont="1" applyBorder="1"/>
    <xf numFmtId="169" fontId="5" fillId="0" borderId="18" xfId="28" applyNumberFormat="1" applyFont="1" applyBorder="1"/>
    <xf numFmtId="164" fontId="9" fillId="0" borderId="40" xfId="28" applyFont="1" applyBorder="1" applyAlignment="1">
      <alignment horizontal="center"/>
    </xf>
    <xf numFmtId="0" fontId="0" fillId="0" borderId="3" xfId="0" applyBorder="1"/>
    <xf numFmtId="0" fontId="0" fillId="0" borderId="31" xfId="0" applyBorder="1"/>
    <xf numFmtId="0" fontId="0" fillId="0" borderId="41" xfId="0" applyBorder="1"/>
    <xf numFmtId="169" fontId="49" fillId="0" borderId="17" xfId="29" applyNumberFormat="1" applyFont="1" applyFill="1" applyBorder="1"/>
    <xf numFmtId="0" fontId="60" fillId="0" borderId="34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26" fillId="0" borderId="43" xfId="0" applyNumberFormat="1" applyFont="1" applyBorder="1" applyAlignment="1">
      <alignment horizontal="center"/>
    </xf>
    <xf numFmtId="0" fontId="26" fillId="0" borderId="38" xfId="0" applyNumberFormat="1" applyFont="1" applyBorder="1" applyAlignment="1">
      <alignment horizontal="center"/>
    </xf>
    <xf numFmtId="169" fontId="11" fillId="0" borderId="44" xfId="28" applyNumberFormat="1" applyFont="1" applyBorder="1"/>
    <xf numFmtId="167" fontId="49" fillId="0" borderId="11" xfId="0" quotePrefix="1" applyNumberFormat="1" applyFont="1" applyBorder="1"/>
    <xf numFmtId="0" fontId="13" fillId="0" borderId="11" xfId="0" applyFont="1" applyBorder="1"/>
    <xf numFmtId="0" fontId="13" fillId="35" borderId="11" xfId="0" applyFont="1" applyFill="1" applyBorder="1"/>
    <xf numFmtId="0" fontId="13" fillId="0" borderId="14" xfId="0" applyFont="1" applyBorder="1"/>
    <xf numFmtId="169" fontId="13" fillId="35" borderId="15" xfId="28" applyNumberFormat="1" applyFont="1" applyFill="1" applyBorder="1"/>
    <xf numFmtId="0" fontId="49" fillId="0" borderId="45" xfId="0" applyFont="1" applyBorder="1"/>
    <xf numFmtId="169" fontId="11" fillId="35" borderId="46" xfId="28" applyNumberFormat="1" applyFont="1" applyFill="1" applyBorder="1"/>
    <xf numFmtId="0" fontId="57" fillId="0" borderId="1" xfId="0" applyFont="1" applyBorder="1" applyAlignment="1">
      <alignment horizontal="center"/>
    </xf>
    <xf numFmtId="169" fontId="60" fillId="0" borderId="17" xfId="28" applyNumberFormat="1" applyFont="1" applyBorder="1"/>
    <xf numFmtId="169" fontId="57" fillId="0" borderId="1" xfId="28" applyNumberFormat="1" applyFont="1" applyBorder="1" applyAlignment="1">
      <alignment horizontal="center"/>
    </xf>
    <xf numFmtId="169" fontId="13" fillId="0" borderId="17" xfId="28" applyNumberFormat="1" applyFont="1" applyFill="1" applyBorder="1"/>
    <xf numFmtId="0" fontId="49" fillId="0" borderId="0" xfId="0" applyFont="1" applyFill="1"/>
    <xf numFmtId="0" fontId="49" fillId="0" borderId="1" xfId="0" applyFont="1" applyFill="1" applyBorder="1" applyAlignment="1">
      <alignment wrapText="1"/>
    </xf>
    <xf numFmtId="169" fontId="13" fillId="0" borderId="25" xfId="28" applyNumberFormat="1" applyFont="1" applyBorder="1"/>
    <xf numFmtId="169" fontId="13" fillId="0" borderId="44" xfId="28" applyNumberFormat="1" applyFont="1" applyBorder="1"/>
    <xf numFmtId="169" fontId="16" fillId="0" borderId="0" xfId="28" applyNumberFormat="1" applyFont="1" applyFill="1"/>
    <xf numFmtId="0" fontId="26" fillId="0" borderId="38" xfId="0" applyNumberFormat="1" applyFont="1" applyFill="1" applyBorder="1" applyAlignment="1">
      <alignment horizontal="center"/>
    </xf>
    <xf numFmtId="169" fontId="11" fillId="0" borderId="3" xfId="28" applyNumberFormat="1" applyFont="1" applyFill="1" applyBorder="1"/>
    <xf numFmtId="169" fontId="13" fillId="0" borderId="3" xfId="28" applyNumberFormat="1" applyFont="1" applyFill="1" applyBorder="1"/>
    <xf numFmtId="169" fontId="13" fillId="0" borderId="15" xfId="28" applyNumberFormat="1" applyFont="1" applyFill="1" applyBorder="1"/>
    <xf numFmtId="169" fontId="15" fillId="0" borderId="0" xfId="28" applyNumberFormat="1" applyFont="1" applyFill="1"/>
    <xf numFmtId="169" fontId="17" fillId="0" borderId="0" xfId="28" applyNumberFormat="1" applyFont="1" applyFill="1" applyBorder="1"/>
    <xf numFmtId="169" fontId="15" fillId="0" borderId="0" xfId="28" applyNumberFormat="1" applyFont="1" applyFill="1" applyBorder="1"/>
    <xf numFmtId="169" fontId="16" fillId="0" borderId="0" xfId="28" applyNumberFormat="1" applyFont="1" applyFill="1" applyBorder="1"/>
    <xf numFmtId="169" fontId="49" fillId="35" borderId="0" xfId="28" applyNumberFormat="1" applyFont="1" applyFill="1" applyBorder="1"/>
    <xf numFmtId="169" fontId="13" fillId="0" borderId="0" xfId="28" applyNumberFormat="1" applyFont="1" applyFill="1"/>
    <xf numFmtId="169" fontId="14" fillId="0" borderId="0" xfId="28" applyNumberFormat="1" applyFont="1" applyFill="1" applyBorder="1"/>
    <xf numFmtId="169" fontId="17" fillId="0" borderId="0" xfId="28" applyNumberFormat="1" applyFont="1" applyFill="1"/>
    <xf numFmtId="169" fontId="13" fillId="0" borderId="17" xfId="28" applyNumberFormat="1" applyFont="1" applyFill="1" applyBorder="1" applyAlignment="1">
      <alignment horizontal="right"/>
    </xf>
    <xf numFmtId="169" fontId="11" fillId="0" borderId="25" xfId="28" applyNumberFormat="1" applyFont="1" applyFill="1" applyBorder="1"/>
    <xf numFmtId="169" fontId="11" fillId="0" borderId="44" xfId="28" applyNumberFormat="1" applyFont="1" applyFill="1" applyBorder="1"/>
    <xf numFmtId="169" fontId="11" fillId="0" borderId="1" xfId="0" applyNumberFormat="1" applyFont="1" applyFill="1" applyBorder="1"/>
    <xf numFmtId="169" fontId="49" fillId="0" borderId="1" xfId="28" applyNumberFormat="1" applyFont="1" applyFill="1" applyBorder="1"/>
    <xf numFmtId="169" fontId="49" fillId="0" borderId="17" xfId="0" applyNumberFormat="1" applyFont="1" applyFill="1" applyBorder="1"/>
    <xf numFmtId="0" fontId="56" fillId="0" borderId="0" xfId="0" applyFont="1" applyFill="1" applyBorder="1"/>
    <xf numFmtId="169" fontId="49" fillId="0" borderId="0" xfId="0" applyNumberFormat="1" applyFont="1" applyBorder="1"/>
    <xf numFmtId="169" fontId="49" fillId="0" borderId="0" xfId="0" applyNumberFormat="1" applyFont="1"/>
    <xf numFmtId="169" fontId="31" fillId="0" borderId="32" xfId="28" applyNumberFormat="1" applyFont="1" applyBorder="1"/>
    <xf numFmtId="169" fontId="13" fillId="0" borderId="4" xfId="28" applyNumberFormat="1" applyFont="1" applyBorder="1"/>
    <xf numFmtId="169" fontId="13" fillId="0" borderId="44" xfId="28" applyNumberFormat="1" applyFont="1" applyFill="1" applyBorder="1"/>
    <xf numFmtId="169" fontId="13" fillId="0" borderId="47" xfId="28" applyNumberFormat="1" applyFont="1" applyFill="1" applyBorder="1"/>
    <xf numFmtId="0" fontId="13" fillId="35" borderId="26" xfId="0" applyFont="1" applyFill="1" applyBorder="1" applyAlignment="1">
      <alignment horizontal="left"/>
    </xf>
    <xf numFmtId="0" fontId="26" fillId="35" borderId="10" xfId="0" applyNumberFormat="1" applyFont="1" applyFill="1" applyBorder="1" applyAlignment="1">
      <alignment horizontal="center"/>
    </xf>
    <xf numFmtId="0" fontId="26" fillId="0" borderId="10" xfId="0" applyNumberFormat="1" applyFont="1" applyFill="1" applyBorder="1" applyAlignment="1">
      <alignment horizontal="center"/>
    </xf>
    <xf numFmtId="0" fontId="60" fillId="0" borderId="48" xfId="0" applyFont="1" applyFill="1" applyBorder="1"/>
    <xf numFmtId="169" fontId="11" fillId="0" borderId="28" xfId="28" applyNumberFormat="1" applyFont="1" applyFill="1" applyBorder="1"/>
    <xf numFmtId="169" fontId="13" fillId="0" borderId="28" xfId="28" applyNumberFormat="1" applyFont="1" applyFill="1" applyBorder="1"/>
    <xf numFmtId="0" fontId="49" fillId="35" borderId="11" xfId="0" applyFont="1" applyFill="1" applyBorder="1"/>
    <xf numFmtId="167" fontId="49" fillId="35" borderId="11" xfId="0" applyNumberFormat="1" applyFont="1" applyFill="1" applyBorder="1"/>
    <xf numFmtId="0" fontId="13" fillId="35" borderId="12" xfId="0" applyFont="1" applyFill="1" applyBorder="1"/>
    <xf numFmtId="169" fontId="13" fillId="35" borderId="13" xfId="28" applyNumberFormat="1" applyFont="1" applyFill="1" applyBorder="1"/>
    <xf numFmtId="169" fontId="13" fillId="0" borderId="13" xfId="28" applyNumberFormat="1" applyFont="1" applyFill="1" applyBorder="1"/>
    <xf numFmtId="169" fontId="13" fillId="0" borderId="49" xfId="28" applyNumberFormat="1" applyFont="1" applyFill="1" applyBorder="1"/>
    <xf numFmtId="0" fontId="13" fillId="0" borderId="26" xfId="0" applyFont="1" applyBorder="1" applyAlignment="1">
      <alignment horizontal="left"/>
    </xf>
    <xf numFmtId="0" fontId="26" fillId="0" borderId="10" xfId="0" applyNumberFormat="1" applyFont="1" applyBorder="1" applyAlignment="1">
      <alignment horizontal="center"/>
    </xf>
    <xf numFmtId="167" fontId="49" fillId="0" borderId="11" xfId="0" applyNumberFormat="1" applyFont="1" applyBorder="1"/>
    <xf numFmtId="169" fontId="11" fillId="0" borderId="28" xfId="28" applyNumberFormat="1" applyFont="1" applyBorder="1"/>
    <xf numFmtId="0" fontId="49" fillId="0" borderId="11" xfId="0" applyFont="1" applyBorder="1"/>
    <xf numFmtId="169" fontId="13" fillId="35" borderId="28" xfId="28" applyNumberFormat="1" applyFont="1" applyFill="1" applyBorder="1"/>
    <xf numFmtId="169" fontId="13" fillId="0" borderId="28" xfId="28" applyNumberFormat="1" applyFont="1" applyBorder="1"/>
    <xf numFmtId="169" fontId="13" fillId="35" borderId="49" xfId="28" applyNumberFormat="1" applyFont="1" applyFill="1" applyBorder="1"/>
    <xf numFmtId="0" fontId="60" fillId="35" borderId="48" xfId="0" applyFont="1" applyFill="1" applyBorder="1" applyAlignment="1">
      <alignment horizontal="center"/>
    </xf>
    <xf numFmtId="169" fontId="13" fillId="35" borderId="27" xfId="28" applyNumberFormat="1" applyFont="1" applyFill="1" applyBorder="1"/>
    <xf numFmtId="169" fontId="11" fillId="35" borderId="28" xfId="28" applyNumberFormat="1" applyFont="1" applyFill="1" applyBorder="1"/>
    <xf numFmtId="0" fontId="13" fillId="0" borderId="10" xfId="0" applyFont="1" applyBorder="1" applyAlignment="1">
      <alignment horizontal="left"/>
    </xf>
    <xf numFmtId="0" fontId="26" fillId="0" borderId="26" xfId="0" applyNumberFormat="1" applyFont="1" applyBorder="1" applyAlignment="1">
      <alignment horizontal="center"/>
    </xf>
    <xf numFmtId="0" fontId="13" fillId="35" borderId="10" xfId="0" applyFont="1" applyFill="1" applyBorder="1" applyAlignment="1">
      <alignment horizontal="left"/>
    </xf>
    <xf numFmtId="0" fontId="60" fillId="0" borderId="48" xfId="0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169" fontId="13" fillId="0" borderId="28" xfId="28" applyNumberFormat="1" applyFont="1" applyFill="1" applyBorder="1" applyAlignment="1">
      <alignment horizontal="right"/>
    </xf>
    <xf numFmtId="169" fontId="13" fillId="0" borderId="13" xfId="28" applyNumberFormat="1" applyFont="1" applyFill="1" applyBorder="1" applyAlignment="1">
      <alignment horizontal="right"/>
    </xf>
    <xf numFmtId="0" fontId="13" fillId="35" borderId="29" xfId="0" applyFont="1" applyFill="1" applyBorder="1"/>
    <xf numFmtId="169" fontId="56" fillId="35" borderId="3" xfId="28" applyNumberFormat="1" applyFont="1" applyFill="1" applyBorder="1"/>
    <xf numFmtId="0" fontId="13" fillId="35" borderId="1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3" fillId="0" borderId="26" xfId="0" applyNumberFormat="1" applyFont="1" applyFill="1" applyBorder="1" applyAlignment="1">
      <alignment horizontal="center"/>
    </xf>
    <xf numFmtId="171" fontId="13" fillId="35" borderId="13" xfId="28" applyNumberFormat="1" applyFont="1" applyFill="1" applyBorder="1" applyAlignment="1">
      <alignment horizontal="right"/>
    </xf>
    <xf numFmtId="0" fontId="26" fillId="35" borderId="26" xfId="0" applyNumberFormat="1" applyFont="1" applyFill="1" applyBorder="1" applyAlignment="1">
      <alignment horizontal="center"/>
    </xf>
    <xf numFmtId="0" fontId="49" fillId="0" borderId="13" xfId="0" applyFont="1" applyBorder="1"/>
    <xf numFmtId="169" fontId="13" fillId="0" borderId="49" xfId="28" applyNumberFormat="1" applyFont="1" applyBorder="1"/>
    <xf numFmtId="169" fontId="13" fillId="0" borderId="27" xfId="28" applyNumberFormat="1" applyFont="1" applyBorder="1"/>
    <xf numFmtId="169" fontId="13" fillId="0" borderId="27" xfId="28" applyNumberFormat="1" applyFont="1" applyFill="1" applyBorder="1"/>
    <xf numFmtId="169" fontId="49" fillId="0" borderId="28" xfId="28" applyNumberFormat="1" applyFont="1" applyFill="1" applyBorder="1"/>
    <xf numFmtId="0" fontId="13" fillId="0" borderId="11" xfId="0" applyFont="1" applyFill="1" applyBorder="1"/>
    <xf numFmtId="0" fontId="49" fillId="0" borderId="11" xfId="0" applyFont="1" applyFill="1" applyBorder="1"/>
    <xf numFmtId="0" fontId="13" fillId="0" borderId="12" xfId="0" applyFont="1" applyFill="1" applyBorder="1"/>
    <xf numFmtId="0" fontId="57" fillId="0" borderId="48" xfId="0" applyFont="1" applyBorder="1" applyAlignment="1">
      <alignment horizontal="center"/>
    </xf>
    <xf numFmtId="0" fontId="57" fillId="0" borderId="48" xfId="0" applyFont="1" applyFill="1" applyBorder="1" applyAlignment="1">
      <alignment horizontal="center"/>
    </xf>
    <xf numFmtId="169" fontId="26" fillId="0" borderId="10" xfId="0" applyNumberFormat="1" applyFont="1" applyBorder="1" applyAlignment="1">
      <alignment horizontal="center"/>
    </xf>
    <xf numFmtId="169" fontId="57" fillId="0" borderId="48" xfId="0" applyNumberFormat="1" applyFont="1" applyBorder="1" applyAlignment="1">
      <alignment horizontal="center"/>
    </xf>
    <xf numFmtId="169" fontId="49" fillId="0" borderId="28" xfId="0" applyNumberFormat="1" applyFont="1" applyBorder="1"/>
    <xf numFmtId="169" fontId="60" fillId="0" borderId="28" xfId="0" applyNumberFormat="1" applyFont="1" applyBorder="1"/>
    <xf numFmtId="169" fontId="49" fillId="0" borderId="50" xfId="0" applyNumberFormat="1" applyFont="1" applyBorder="1"/>
    <xf numFmtId="169" fontId="60" fillId="0" borderId="50" xfId="0" applyNumberFormat="1" applyFont="1" applyBorder="1"/>
    <xf numFmtId="169" fontId="49" fillId="0" borderId="0" xfId="28" applyNumberFormat="1" applyFont="1" applyBorder="1"/>
    <xf numFmtId="169" fontId="49" fillId="0" borderId="48" xfId="0" applyNumberFormat="1" applyFont="1" applyBorder="1"/>
    <xf numFmtId="169" fontId="60" fillId="0" borderId="48" xfId="0" applyNumberFormat="1" applyFont="1" applyBorder="1"/>
    <xf numFmtId="0" fontId="49" fillId="0" borderId="28" xfId="0" applyFont="1" applyBorder="1"/>
    <xf numFmtId="0" fontId="60" fillId="0" borderId="28" xfId="0" applyFont="1" applyBorder="1"/>
    <xf numFmtId="169" fontId="49" fillId="0" borderId="28" xfId="28" applyNumberFormat="1" applyFont="1" applyBorder="1"/>
    <xf numFmtId="169" fontId="60" fillId="0" borderId="28" xfId="28" applyNumberFormat="1" applyFont="1" applyBorder="1"/>
    <xf numFmtId="169" fontId="49" fillId="0" borderId="3" xfId="28" applyNumberFormat="1" applyFont="1" applyBorder="1"/>
    <xf numFmtId="169" fontId="49" fillId="0" borderId="25" xfId="28" applyNumberFormat="1" applyFont="1" applyBorder="1"/>
    <xf numFmtId="169" fontId="11" fillId="0" borderId="13" xfId="28" applyNumberFormat="1" applyFont="1" applyBorder="1"/>
    <xf numFmtId="0" fontId="49" fillId="0" borderId="50" xfId="0" applyFont="1" applyBorder="1"/>
    <xf numFmtId="0" fontId="60" fillId="0" borderId="50" xfId="0" applyFont="1" applyBorder="1"/>
    <xf numFmtId="0" fontId="0" fillId="0" borderId="28" xfId="0" applyBorder="1"/>
    <xf numFmtId="169" fontId="11" fillId="0" borderId="50" xfId="28" applyNumberFormat="1" applyFont="1" applyBorder="1"/>
    <xf numFmtId="169" fontId="60" fillId="35" borderId="48" xfId="28" applyNumberFormat="1" applyFont="1" applyFill="1" applyBorder="1" applyAlignment="1">
      <alignment horizontal="center"/>
    </xf>
    <xf numFmtId="169" fontId="49" fillId="35" borderId="28" xfId="28" applyNumberFormat="1" applyFont="1" applyFill="1" applyBorder="1"/>
    <xf numFmtId="167" fontId="13" fillId="35" borderId="11" xfId="0" applyNumberFormat="1" applyFont="1" applyFill="1" applyBorder="1"/>
    <xf numFmtId="167" fontId="13" fillId="35" borderId="22" xfId="0" applyNumberFormat="1" applyFont="1" applyFill="1" applyBorder="1"/>
    <xf numFmtId="0" fontId="13" fillId="35" borderId="14" xfId="0" applyFont="1" applyFill="1" applyBorder="1"/>
    <xf numFmtId="169" fontId="13" fillId="0" borderId="51" xfId="28" applyNumberFormat="1" applyFont="1" applyFill="1" applyBorder="1"/>
    <xf numFmtId="169" fontId="47" fillId="36" borderId="32" xfId="28" applyNumberFormat="1" applyFont="1" applyFill="1" applyBorder="1"/>
    <xf numFmtId="169" fontId="47" fillId="36" borderId="31" xfId="28" applyNumberFormat="1" applyFont="1" applyFill="1" applyBorder="1"/>
    <xf numFmtId="169" fontId="13" fillId="0" borderId="52" xfId="28" applyNumberFormat="1" applyFont="1" applyBorder="1"/>
    <xf numFmtId="169" fontId="13" fillId="0" borderId="53" xfId="28" applyNumberFormat="1" applyFont="1" applyBorder="1"/>
    <xf numFmtId="164" fontId="50" fillId="0" borderId="0" xfId="28" applyFont="1"/>
    <xf numFmtId="169" fontId="50" fillId="0" borderId="0" xfId="28" applyNumberFormat="1" applyFont="1"/>
    <xf numFmtId="164" fontId="7" fillId="37" borderId="34" xfId="28" applyFont="1" applyFill="1" applyBorder="1" applyAlignment="1">
      <alignment horizontal="center"/>
    </xf>
    <xf numFmtId="169" fontId="6" fillId="37" borderId="34" xfId="28" applyNumberFormat="1" applyFont="1" applyFill="1" applyBorder="1" applyAlignment="1">
      <alignment horizontal="center"/>
    </xf>
    <xf numFmtId="169" fontId="6" fillId="37" borderId="34" xfId="28" applyNumberFormat="1" applyFont="1" applyFill="1" applyBorder="1" applyAlignment="1">
      <alignment horizontal="center" wrapText="1"/>
    </xf>
    <xf numFmtId="0" fontId="15" fillId="37" borderId="34" xfId="0" applyNumberFormat="1" applyFont="1" applyFill="1" applyBorder="1" applyAlignment="1">
      <alignment horizontal="center" wrapText="1"/>
    </xf>
    <xf numFmtId="0" fontId="15" fillId="37" borderId="38" xfId="0" applyNumberFormat="1" applyFont="1" applyFill="1" applyBorder="1" applyAlignment="1">
      <alignment horizontal="center"/>
    </xf>
    <xf numFmtId="0" fontId="50" fillId="37" borderId="34" xfId="0" applyFont="1" applyFill="1" applyBorder="1" applyAlignment="1">
      <alignment horizontal="center"/>
    </xf>
    <xf numFmtId="0" fontId="13" fillId="37" borderId="10" xfId="0" applyFont="1" applyFill="1" applyBorder="1" applyAlignment="1">
      <alignment horizontal="left"/>
    </xf>
    <xf numFmtId="0" fontId="26" fillId="37" borderId="5" xfId="0" applyNumberFormat="1" applyFont="1" applyFill="1" applyBorder="1" applyAlignment="1">
      <alignment horizontal="center"/>
    </xf>
    <xf numFmtId="0" fontId="49" fillId="38" borderId="0" xfId="0" applyFont="1" applyFill="1" applyBorder="1"/>
    <xf numFmtId="0" fontId="49" fillId="38" borderId="0" xfId="0" applyFont="1" applyFill="1"/>
    <xf numFmtId="0" fontId="11" fillId="34" borderId="0" xfId="0" applyFont="1" applyFill="1"/>
    <xf numFmtId="0" fontId="60" fillId="38" borderId="0" xfId="0" applyFont="1" applyFill="1" applyBorder="1"/>
    <xf numFmtId="0" fontId="49" fillId="39" borderId="0" xfId="0" applyFont="1" applyFill="1" applyBorder="1"/>
    <xf numFmtId="0" fontId="49" fillId="34" borderId="0" xfId="0" applyFont="1" applyFill="1" applyBorder="1"/>
    <xf numFmtId="0" fontId="49" fillId="34" borderId="0" xfId="0" applyFont="1" applyFill="1"/>
    <xf numFmtId="0" fontId="60" fillId="34" borderId="0" xfId="0" applyFont="1" applyFill="1"/>
    <xf numFmtId="0" fontId="13" fillId="0" borderId="1" xfId="0" applyFont="1" applyFill="1" applyBorder="1"/>
    <xf numFmtId="0" fontId="60" fillId="0" borderId="0" xfId="0" applyFont="1" applyFill="1"/>
    <xf numFmtId="0" fontId="60" fillId="0" borderId="0" xfId="0" applyFont="1" applyFill="1" applyBorder="1"/>
    <xf numFmtId="0" fontId="60" fillId="34" borderId="0" xfId="0" applyFont="1" applyFill="1" applyBorder="1"/>
    <xf numFmtId="0" fontId="11" fillId="38" borderId="0" xfId="0" applyFont="1" applyFill="1" applyBorder="1"/>
    <xf numFmtId="0" fontId="49" fillId="40" borderId="0" xfId="0" applyFont="1" applyFill="1" applyBorder="1"/>
    <xf numFmtId="0" fontId="0" fillId="0" borderId="0" xfId="0" applyFill="1"/>
    <xf numFmtId="164" fontId="31" fillId="0" borderId="0" xfId="28" applyFont="1" applyFill="1"/>
    <xf numFmtId="0" fontId="9" fillId="0" borderId="9" xfId="0" applyFont="1" applyFill="1" applyBorder="1" applyAlignment="1">
      <alignment horizontal="center"/>
    </xf>
    <xf numFmtId="169" fontId="9" fillId="0" borderId="10" xfId="28" applyNumberFormat="1" applyFont="1" applyFill="1" applyBorder="1" applyAlignment="1">
      <alignment horizontal="center"/>
    </xf>
    <xf numFmtId="169" fontId="9" fillId="0" borderId="10" xfId="28" applyNumberFormat="1" applyFont="1" applyFill="1" applyBorder="1" applyAlignment="1">
      <alignment horizontal="center" wrapText="1"/>
    </xf>
    <xf numFmtId="169" fontId="5" fillId="0" borderId="10" xfId="28" applyNumberFormat="1" applyFont="1" applyFill="1" applyBorder="1"/>
    <xf numFmtId="169" fontId="5" fillId="0" borderId="48" xfId="28" applyNumberFormat="1" applyFont="1" applyFill="1" applyBorder="1"/>
    <xf numFmtId="0" fontId="14" fillId="0" borderId="11" xfId="0" applyFont="1" applyFill="1" applyBorder="1"/>
    <xf numFmtId="169" fontId="14" fillId="0" borderId="1" xfId="28" applyNumberFormat="1" applyFont="1" applyFill="1" applyBorder="1"/>
    <xf numFmtId="169" fontId="14" fillId="0" borderId="28" xfId="28" applyNumberFormat="1" applyFont="1" applyFill="1" applyBorder="1"/>
    <xf numFmtId="0" fontId="11" fillId="0" borderId="0" xfId="0" applyFont="1" applyFill="1"/>
    <xf numFmtId="0" fontId="5" fillId="0" borderId="11" xfId="0" applyFont="1" applyFill="1" applyBorder="1"/>
    <xf numFmtId="169" fontId="5" fillId="0" borderId="1" xfId="28" applyNumberFormat="1" applyFont="1" applyFill="1" applyBorder="1"/>
    <xf numFmtId="169" fontId="5" fillId="0" borderId="28" xfId="28" applyNumberFormat="1" applyFont="1" applyFill="1" applyBorder="1"/>
    <xf numFmtId="0" fontId="62" fillId="0" borderId="11" xfId="0" applyFont="1" applyFill="1" applyBorder="1"/>
    <xf numFmtId="169" fontId="0" fillId="0" borderId="0" xfId="0" applyNumberFormat="1" applyFill="1"/>
    <xf numFmtId="164" fontId="63" fillId="0" borderId="1" xfId="28" applyFont="1" applyFill="1" applyBorder="1"/>
    <xf numFmtId="0" fontId="14" fillId="0" borderId="36" xfId="0" applyFont="1" applyFill="1" applyBorder="1"/>
    <xf numFmtId="164" fontId="63" fillId="0" borderId="33" xfId="28" applyFont="1" applyFill="1" applyBorder="1"/>
    <xf numFmtId="169" fontId="14" fillId="0" borderId="33" xfId="28" applyNumberFormat="1" applyFont="1" applyFill="1" applyBorder="1"/>
    <xf numFmtId="169" fontId="14" fillId="0" borderId="54" xfId="28" applyNumberFormat="1" applyFont="1" applyFill="1" applyBorder="1"/>
    <xf numFmtId="0" fontId="16" fillId="0" borderId="55" xfId="0" applyFont="1" applyFill="1" applyBorder="1"/>
    <xf numFmtId="169" fontId="16" fillId="0" borderId="56" xfId="28" applyNumberFormat="1" applyFont="1" applyFill="1" applyBorder="1"/>
    <xf numFmtId="0" fontId="16" fillId="0" borderId="16" xfId="0" applyFont="1" applyFill="1" applyBorder="1"/>
    <xf numFmtId="169" fontId="16" fillId="0" borderId="15" xfId="28" applyNumberFormat="1" applyFont="1" applyFill="1" applyBorder="1"/>
    <xf numFmtId="169" fontId="64" fillId="0" borderId="0" xfId="28" applyNumberFormat="1" applyFont="1" applyFill="1"/>
    <xf numFmtId="169" fontId="63" fillId="0" borderId="0" xfId="28" applyNumberFormat="1" applyFont="1" applyFill="1" applyBorder="1"/>
    <xf numFmtId="169" fontId="64" fillId="0" borderId="0" xfId="0" applyNumberFormat="1" applyFont="1" applyFill="1"/>
    <xf numFmtId="0" fontId="64" fillId="0" borderId="0" xfId="0" applyFont="1" applyFill="1"/>
    <xf numFmtId="0" fontId="62" fillId="0" borderId="0" xfId="0" applyFont="1" applyFill="1"/>
    <xf numFmtId="169" fontId="62" fillId="0" borderId="0" xfId="0" applyNumberFormat="1" applyFont="1" applyFill="1"/>
    <xf numFmtId="169" fontId="62" fillId="0" borderId="0" xfId="28" applyNumberFormat="1" applyFont="1" applyFill="1"/>
    <xf numFmtId="0" fontId="15" fillId="0" borderId="0" xfId="0" applyFont="1" applyFill="1" applyBorder="1"/>
    <xf numFmtId="0" fontId="17" fillId="0" borderId="0" xfId="0" applyFont="1" applyFill="1" applyBorder="1"/>
    <xf numFmtId="0" fontId="13" fillId="0" borderId="26" xfId="0" applyFont="1" applyFill="1" applyBorder="1" applyAlignment="1">
      <alignment horizontal="left"/>
    </xf>
    <xf numFmtId="167" fontId="60" fillId="0" borderId="11" xfId="0" quotePrefix="1" applyNumberFormat="1" applyFont="1" applyFill="1" applyBorder="1"/>
    <xf numFmtId="0" fontId="15" fillId="0" borderId="0" xfId="0" applyFont="1" applyFill="1"/>
    <xf numFmtId="0" fontId="16" fillId="0" borderId="0" xfId="0" applyFont="1" applyFill="1" applyBorder="1"/>
    <xf numFmtId="0" fontId="13" fillId="0" borderId="10" xfId="0" applyFont="1" applyFill="1" applyBorder="1" applyAlignment="1">
      <alignment horizontal="left"/>
    </xf>
    <xf numFmtId="0" fontId="49" fillId="0" borderId="3" xfId="0" applyFont="1" applyFill="1" applyBorder="1"/>
    <xf numFmtId="169" fontId="11" fillId="0" borderId="0" xfId="28" applyNumberFormat="1" applyFont="1" applyFill="1" applyAlignment="1">
      <alignment horizontal="right"/>
    </xf>
    <xf numFmtId="169" fontId="17" fillId="0" borderId="0" xfId="28" applyNumberFormat="1" applyFont="1" applyFill="1" applyBorder="1" applyAlignment="1">
      <alignment horizontal="right"/>
    </xf>
    <xf numFmtId="0" fontId="14" fillId="0" borderId="0" xfId="0" applyFont="1" applyFill="1" applyBorder="1"/>
    <xf numFmtId="169" fontId="14" fillId="0" borderId="0" xfId="28" applyNumberFormat="1" applyFont="1" applyFill="1" applyBorder="1" applyAlignment="1">
      <alignment horizontal="right"/>
    </xf>
    <xf numFmtId="169" fontId="11" fillId="0" borderId="1" xfId="28" applyNumberFormat="1" applyFont="1" applyFill="1" applyBorder="1" applyAlignment="1">
      <alignment horizontal="right"/>
    </xf>
    <xf numFmtId="169" fontId="13" fillId="0" borderId="1" xfId="28" applyNumberFormat="1" applyFont="1" applyFill="1" applyBorder="1" applyAlignment="1">
      <alignment horizontal="right"/>
    </xf>
    <xf numFmtId="169" fontId="13" fillId="0" borderId="1" xfId="28" applyNumberFormat="1" applyFont="1" applyFill="1" applyBorder="1" applyAlignment="1">
      <alignment horizontal="right" wrapText="1"/>
    </xf>
    <xf numFmtId="0" fontId="65" fillId="0" borderId="0" xfId="0" applyFont="1" applyFill="1" applyBorder="1"/>
    <xf numFmtId="0" fontId="60" fillId="0" borderId="1" xfId="0" applyFont="1" applyFill="1" applyBorder="1"/>
    <xf numFmtId="0" fontId="13" fillId="0" borderId="0" xfId="0" applyFont="1" applyFill="1"/>
    <xf numFmtId="0" fontId="13" fillId="0" borderId="26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0" fontId="60" fillId="0" borderId="13" xfId="0" applyFont="1" applyFill="1" applyBorder="1"/>
    <xf numFmtId="0" fontId="16" fillId="0" borderId="0" xfId="0" applyFont="1" applyFill="1"/>
    <xf numFmtId="0" fontId="26" fillId="0" borderId="24" xfId="0" applyNumberFormat="1" applyFont="1" applyFill="1" applyBorder="1" applyAlignment="1">
      <alignment horizontal="center"/>
    </xf>
    <xf numFmtId="0" fontId="26" fillId="0" borderId="20" xfId="0" applyNumberFormat="1" applyFont="1" applyFill="1" applyBorder="1" applyAlignment="1">
      <alignment horizontal="center"/>
    </xf>
    <xf numFmtId="0" fontId="26" fillId="0" borderId="58" xfId="0" applyNumberFormat="1" applyFont="1" applyFill="1" applyBorder="1" applyAlignment="1">
      <alignment horizontal="center"/>
    </xf>
    <xf numFmtId="169" fontId="17" fillId="0" borderId="0" xfId="28" applyNumberFormat="1" applyFont="1" applyFill="1" applyBorder="1" applyAlignment="1"/>
    <xf numFmtId="169" fontId="11" fillId="0" borderId="0" xfId="28" applyNumberFormat="1" applyFont="1" applyFill="1" applyBorder="1" applyAlignment="1"/>
    <xf numFmtId="0" fontId="26" fillId="0" borderId="10" xfId="0" applyNumberFormat="1" applyFont="1" applyFill="1" applyBorder="1" applyAlignment="1"/>
    <xf numFmtId="169" fontId="11" fillId="0" borderId="17" xfId="28" applyNumberFormat="1" applyFont="1" applyFill="1" applyBorder="1" applyAlignment="1"/>
    <xf numFmtId="169" fontId="11" fillId="0" borderId="28" xfId="28" applyNumberFormat="1" applyFont="1" applyFill="1" applyBorder="1" applyAlignment="1"/>
    <xf numFmtId="169" fontId="11" fillId="0" borderId="1" xfId="28" applyNumberFormat="1" applyFont="1" applyFill="1" applyBorder="1" applyAlignment="1"/>
    <xf numFmtId="169" fontId="13" fillId="0" borderId="17" xfId="28" applyNumberFormat="1" applyFont="1" applyFill="1" applyBorder="1" applyAlignment="1"/>
    <xf numFmtId="169" fontId="13" fillId="0" borderId="0" xfId="28" applyNumberFormat="1" applyFont="1" applyFill="1" applyAlignment="1"/>
    <xf numFmtId="169" fontId="11" fillId="0" borderId="0" xfId="28" applyNumberFormat="1" applyFont="1" applyFill="1" applyAlignment="1"/>
    <xf numFmtId="0" fontId="26" fillId="0" borderId="59" xfId="0" applyNumberFormat="1" applyFont="1" applyFill="1" applyBorder="1" applyAlignment="1">
      <alignment horizontal="center"/>
    </xf>
    <xf numFmtId="0" fontId="26" fillId="0" borderId="21" xfId="0" applyNumberFormat="1" applyFont="1" applyFill="1" applyBorder="1" applyAlignment="1">
      <alignment horizontal="center"/>
    </xf>
    <xf numFmtId="169" fontId="56" fillId="0" borderId="1" xfId="28" applyNumberFormat="1" applyFont="1" applyFill="1" applyBorder="1"/>
    <xf numFmtId="0" fontId="48" fillId="0" borderId="0" xfId="0" applyFont="1" applyFill="1" applyBorder="1"/>
    <xf numFmtId="0" fontId="49" fillId="0" borderId="33" xfId="0" applyFont="1" applyFill="1" applyBorder="1"/>
    <xf numFmtId="169" fontId="11" fillId="0" borderId="33" xfId="28" applyNumberFormat="1" applyFont="1" applyFill="1" applyBorder="1" applyAlignment="1">
      <alignment horizontal="center" wrapText="1"/>
    </xf>
    <xf numFmtId="169" fontId="11" fillId="0" borderId="33" xfId="28" applyNumberFormat="1" applyFont="1" applyFill="1" applyBorder="1"/>
    <xf numFmtId="169" fontId="11" fillId="0" borderId="54" xfId="28" applyNumberFormat="1" applyFont="1" applyFill="1" applyBorder="1"/>
    <xf numFmtId="0" fontId="54" fillId="0" borderId="0" xfId="0" applyFont="1" applyFill="1" applyBorder="1"/>
    <xf numFmtId="169" fontId="26" fillId="0" borderId="10" xfId="28" applyNumberFormat="1" applyFont="1" applyFill="1" applyBorder="1" applyAlignment="1">
      <alignment horizontal="center"/>
    </xf>
    <xf numFmtId="164" fontId="49" fillId="0" borderId="0" xfId="0" applyNumberFormat="1" applyFont="1" applyFill="1" applyBorder="1"/>
    <xf numFmtId="0" fontId="1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69" fontId="15" fillId="0" borderId="1" xfId="28" applyNumberFormat="1" applyFont="1" applyFill="1" applyBorder="1" applyAlignment="1">
      <alignment horizontal="center"/>
    </xf>
    <xf numFmtId="0" fontId="48" fillId="0" borderId="0" xfId="0" applyFont="1" applyFill="1"/>
    <xf numFmtId="0" fontId="13" fillId="0" borderId="4" xfId="0" applyFont="1" applyFill="1" applyBorder="1" applyAlignment="1">
      <alignment horizontal="left"/>
    </xf>
    <xf numFmtId="0" fontId="49" fillId="0" borderId="29" xfId="0" applyFont="1" applyFill="1" applyBorder="1"/>
    <xf numFmtId="0" fontId="60" fillId="0" borderId="60" xfId="0" applyFont="1" applyFill="1" applyBorder="1" applyAlignment="1"/>
    <xf numFmtId="169" fontId="15" fillId="0" borderId="1" xfId="28" applyNumberFormat="1" applyFont="1" applyFill="1" applyBorder="1" applyAlignment="1">
      <alignment horizontal="center" wrapText="1"/>
    </xf>
    <xf numFmtId="169" fontId="15" fillId="0" borderId="17" xfId="28" applyNumberFormat="1" applyFont="1" applyFill="1" applyBorder="1" applyAlignment="1">
      <alignment horizontal="center"/>
    </xf>
    <xf numFmtId="169" fontId="11" fillId="0" borderId="50" xfId="28" applyNumberFormat="1" applyFont="1" applyFill="1" applyBorder="1"/>
    <xf numFmtId="0" fontId="60" fillId="0" borderId="12" xfId="0" applyFont="1" applyFill="1" applyBorder="1" applyAlignment="1"/>
    <xf numFmtId="0" fontId="13" fillId="0" borderId="26" xfId="0" applyFont="1" applyFill="1" applyBorder="1" applyAlignment="1">
      <alignment horizontal="left" vertical="center"/>
    </xf>
    <xf numFmtId="0" fontId="26" fillId="0" borderId="24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57" fillId="0" borderId="48" xfId="0" applyFont="1" applyFill="1" applyBorder="1" applyAlignment="1">
      <alignment horizontal="center" vertical="center"/>
    </xf>
    <xf numFmtId="169" fontId="13" fillId="0" borderId="1" xfId="28" applyNumberFormat="1" applyFont="1" applyFill="1" applyBorder="1" applyAlignment="1">
      <alignment horizontal="center" wrapText="1"/>
    </xf>
    <xf numFmtId="169" fontId="49" fillId="0" borderId="0" xfId="28" applyNumberFormat="1" applyFont="1" applyFill="1" applyBorder="1"/>
    <xf numFmtId="169" fontId="48" fillId="0" borderId="0" xfId="0" applyNumberFormat="1" applyFont="1" applyFill="1"/>
    <xf numFmtId="0" fontId="11" fillId="0" borderId="33" xfId="0" applyFont="1" applyFill="1" applyBorder="1"/>
    <xf numFmtId="0" fontId="13" fillId="0" borderId="22" xfId="0" applyFont="1" applyFill="1" applyBorder="1"/>
    <xf numFmtId="0" fontId="13" fillId="0" borderId="4" xfId="0" applyFont="1" applyFill="1" applyBorder="1"/>
    <xf numFmtId="0" fontId="13" fillId="0" borderId="2" xfId="0" applyFont="1" applyFill="1" applyBorder="1"/>
    <xf numFmtId="0" fontId="47" fillId="0" borderId="0" xfId="0" applyFont="1" applyFill="1"/>
    <xf numFmtId="169" fontId="31" fillId="0" borderId="0" xfId="28" applyNumberFormat="1" applyFont="1" applyFill="1"/>
    <xf numFmtId="169" fontId="57" fillId="0" borderId="48" xfId="28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169" fontId="11" fillId="0" borderId="3" xfId="28" applyNumberFormat="1" applyFont="1" applyFill="1" applyBorder="1" applyAlignment="1">
      <alignment horizontal="center" wrapText="1"/>
    </xf>
    <xf numFmtId="169" fontId="49" fillId="0" borderId="0" xfId="28" applyNumberFormat="1" applyFont="1" applyFill="1"/>
    <xf numFmtId="167" fontId="13" fillId="0" borderId="22" xfId="0" applyNumberFormat="1" applyFont="1" applyFill="1" applyBorder="1"/>
    <xf numFmtId="167" fontId="13" fillId="0" borderId="11" xfId="0" applyNumberFormat="1" applyFont="1" applyFill="1" applyBorder="1"/>
    <xf numFmtId="167" fontId="13" fillId="0" borderId="40" xfId="0" applyNumberFormat="1" applyFont="1" applyFill="1" applyBorder="1"/>
    <xf numFmtId="0" fontId="66" fillId="0" borderId="5" xfId="0" applyFont="1" applyFill="1" applyBorder="1" applyAlignment="1">
      <alignment horizontal="center"/>
    </xf>
    <xf numFmtId="0" fontId="66" fillId="0" borderId="6" xfId="0" applyFont="1" applyFill="1" applyBorder="1" applyAlignment="1">
      <alignment horizontal="center" wrapText="1"/>
    </xf>
    <xf numFmtId="0" fontId="66" fillId="0" borderId="7" xfId="0" applyFont="1" applyFill="1" applyBorder="1" applyAlignment="1">
      <alignment horizontal="center" wrapText="1"/>
    </xf>
    <xf numFmtId="0" fontId="66" fillId="0" borderId="8" xfId="0" applyFont="1" applyFill="1" applyBorder="1" applyAlignment="1">
      <alignment horizontal="center" wrapText="1"/>
    </xf>
    <xf numFmtId="169" fontId="66" fillId="0" borderId="5" xfId="28" applyNumberFormat="1" applyFont="1" applyFill="1" applyBorder="1" applyAlignment="1">
      <alignment horizontal="center" wrapText="1"/>
    </xf>
    <xf numFmtId="169" fontId="66" fillId="0" borderId="5" xfId="28" applyNumberFormat="1" applyFont="1" applyFill="1" applyBorder="1" applyAlignment="1">
      <alignment horizontal="center"/>
    </xf>
    <xf numFmtId="0" fontId="66" fillId="0" borderId="5" xfId="0" applyNumberFormat="1" applyFont="1" applyFill="1" applyBorder="1" applyAlignment="1">
      <alignment horizontal="center"/>
    </xf>
    <xf numFmtId="164" fontId="10" fillId="0" borderId="0" xfId="28" applyFont="1" applyFill="1"/>
    <xf numFmtId="164" fontId="31" fillId="0" borderId="0" xfId="28" applyFont="1" applyFill="1"/>
    <xf numFmtId="164" fontId="11" fillId="0" borderId="0" xfId="28" applyFont="1" applyFill="1"/>
    <xf numFmtId="164" fontId="49" fillId="0" borderId="0" xfId="28" applyFont="1" applyFill="1"/>
    <xf numFmtId="169" fontId="11" fillId="35" borderId="1" xfId="28" applyNumberFormat="1" applyFont="1" applyFill="1" applyBorder="1" applyAlignment="1">
      <alignment horizontal="right"/>
    </xf>
    <xf numFmtId="0" fontId="48" fillId="0" borderId="50" xfId="0" applyFont="1" applyFill="1" applyBorder="1"/>
    <xf numFmtId="0" fontId="26" fillId="0" borderId="38" xfId="0" applyNumberFormat="1" applyFont="1" applyFill="1" applyBorder="1" applyAlignment="1">
      <alignment horizontal="center" wrapText="1"/>
    </xf>
    <xf numFmtId="0" fontId="26" fillId="0" borderId="10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49" fillId="0" borderId="0" xfId="0" applyFont="1" applyFill="1" applyAlignment="1">
      <alignment wrapText="1"/>
    </xf>
    <xf numFmtId="0" fontId="49" fillId="0" borderId="11" xfId="0" applyFont="1" applyFill="1" applyBorder="1" applyAlignment="1">
      <alignment wrapText="1"/>
    </xf>
    <xf numFmtId="0" fontId="13" fillId="0" borderId="12" xfId="0" applyFont="1" applyFill="1" applyBorder="1" applyAlignment="1">
      <alignment wrapText="1"/>
    </xf>
    <xf numFmtId="0" fontId="13" fillId="0" borderId="38" xfId="0" applyNumberFormat="1" applyFont="1" applyFill="1" applyBorder="1" applyAlignment="1">
      <alignment horizontal="center" wrapText="1"/>
    </xf>
    <xf numFmtId="169" fontId="26" fillId="0" borderId="0" xfId="28" applyNumberFormat="1" applyFont="1" applyFill="1"/>
    <xf numFmtId="169" fontId="25" fillId="0" borderId="0" xfId="28" applyNumberFormat="1" applyFont="1" applyFill="1"/>
    <xf numFmtId="169" fontId="25" fillId="0" borderId="1" xfId="28" applyNumberFormat="1" applyFont="1" applyFill="1" applyBorder="1"/>
    <xf numFmtId="169" fontId="25" fillId="0" borderId="28" xfId="28" applyNumberFormat="1" applyFont="1" applyFill="1" applyBorder="1"/>
    <xf numFmtId="169" fontId="26" fillId="0" borderId="17" xfId="28" applyNumberFormat="1" applyFont="1" applyFill="1" applyBorder="1"/>
    <xf numFmtId="169" fontId="26" fillId="0" borderId="1" xfId="28" applyNumberFormat="1" applyFont="1" applyFill="1" applyBorder="1"/>
    <xf numFmtId="169" fontId="26" fillId="0" borderId="28" xfId="28" applyNumberFormat="1" applyFont="1" applyFill="1" applyBorder="1"/>
    <xf numFmtId="169" fontId="25" fillId="0" borderId="17" xfId="28" applyNumberFormat="1" applyFont="1" applyFill="1" applyBorder="1"/>
    <xf numFmtId="169" fontId="25" fillId="0" borderId="0" xfId="28" applyNumberFormat="1" applyFont="1" applyFill="1" applyBorder="1"/>
    <xf numFmtId="0" fontId="68" fillId="0" borderId="0" xfId="0" applyFont="1" applyFill="1"/>
    <xf numFmtId="169" fontId="68" fillId="0" borderId="0" xfId="28" applyNumberFormat="1" applyFont="1" applyFill="1"/>
    <xf numFmtId="0" fontId="69" fillId="0" borderId="0" xfId="0" applyFont="1" applyFill="1"/>
    <xf numFmtId="0" fontId="70" fillId="0" borderId="0" xfId="0" applyFont="1" applyFill="1"/>
    <xf numFmtId="169" fontId="71" fillId="0" borderId="0" xfId="28" applyNumberFormat="1" applyFont="1" applyFill="1"/>
    <xf numFmtId="0" fontId="68" fillId="0" borderId="26" xfId="0" applyFont="1" applyFill="1" applyBorder="1" applyAlignment="1">
      <alignment horizontal="left"/>
    </xf>
    <xf numFmtId="0" fontId="68" fillId="0" borderId="8" xfId="0" applyNumberFormat="1" applyFont="1" applyFill="1" applyBorder="1" applyAlignment="1">
      <alignment horizontal="center"/>
    </xf>
    <xf numFmtId="0" fontId="71" fillId="0" borderId="1" xfId="0" applyFont="1" applyFill="1" applyBorder="1" applyAlignment="1">
      <alignment horizontal="left"/>
    </xf>
    <xf numFmtId="169" fontId="71" fillId="0" borderId="17" xfId="28" applyNumberFormat="1" applyFont="1" applyFill="1" applyBorder="1" applyAlignment="1">
      <alignment horizontal="center" wrapText="1"/>
    </xf>
    <xf numFmtId="169" fontId="71" fillId="0" borderId="1" xfId="28" applyNumberFormat="1" applyFont="1" applyFill="1" applyBorder="1"/>
    <xf numFmtId="169" fontId="71" fillId="0" borderId="28" xfId="28" applyNumberFormat="1" applyFont="1" applyFill="1" applyBorder="1"/>
    <xf numFmtId="0" fontId="68" fillId="0" borderId="11" xfId="0" applyFont="1" applyFill="1" applyBorder="1"/>
    <xf numFmtId="169" fontId="68" fillId="0" borderId="17" xfId="28" applyNumberFormat="1" applyFont="1" applyFill="1" applyBorder="1"/>
    <xf numFmtId="169" fontId="68" fillId="0" borderId="1" xfId="28" applyNumberFormat="1" applyFont="1" applyFill="1" applyBorder="1"/>
    <xf numFmtId="169" fontId="68" fillId="0" borderId="28" xfId="28" applyNumberFormat="1" applyFont="1" applyFill="1" applyBorder="1"/>
    <xf numFmtId="0" fontId="68" fillId="0" borderId="1" xfId="0" applyFont="1" applyFill="1" applyBorder="1" applyAlignment="1">
      <alignment horizontal="left"/>
    </xf>
    <xf numFmtId="169" fontId="68" fillId="0" borderId="17" xfId="28" applyNumberFormat="1" applyFont="1" applyFill="1" applyBorder="1" applyAlignment="1">
      <alignment horizontal="center" wrapText="1"/>
    </xf>
    <xf numFmtId="169" fontId="68" fillId="0" borderId="1" xfId="28" applyNumberFormat="1" applyFont="1" applyFill="1" applyBorder="1" applyAlignment="1">
      <alignment horizontal="center"/>
    </xf>
    <xf numFmtId="0" fontId="70" fillId="0" borderId="1" xfId="0" applyFont="1" applyFill="1" applyBorder="1"/>
    <xf numFmtId="169" fontId="71" fillId="0" borderId="17" xfId="28" applyNumberFormat="1" applyFont="1" applyFill="1" applyBorder="1"/>
    <xf numFmtId="0" fontId="73" fillId="0" borderId="0" xfId="0" applyFont="1" applyFill="1"/>
    <xf numFmtId="0" fontId="68" fillId="0" borderId="1" xfId="0" applyFont="1" applyFill="1" applyBorder="1"/>
    <xf numFmtId="169" fontId="71" fillId="0" borderId="17" xfId="28" applyNumberFormat="1" applyFont="1" applyFill="1" applyBorder="1" applyAlignment="1">
      <alignment horizontal="right" wrapText="1"/>
    </xf>
    <xf numFmtId="0" fontId="73" fillId="34" borderId="0" xfId="0" applyFont="1" applyFill="1"/>
    <xf numFmtId="0" fontId="71" fillId="0" borderId="1" xfId="0" applyFont="1" applyFill="1" applyBorder="1"/>
    <xf numFmtId="169" fontId="70" fillId="0" borderId="17" xfId="28" applyNumberFormat="1" applyFont="1" applyFill="1" applyBorder="1"/>
    <xf numFmtId="0" fontId="71" fillId="0" borderId="4" xfId="0" applyFont="1" applyFill="1" applyBorder="1"/>
    <xf numFmtId="0" fontId="68" fillId="0" borderId="4" xfId="0" applyFont="1" applyFill="1" applyBorder="1" applyAlignment="1">
      <alignment horizontal="left"/>
    </xf>
    <xf numFmtId="0" fontId="70" fillId="0" borderId="11" xfId="0" applyFont="1" applyFill="1" applyBorder="1"/>
    <xf numFmtId="0" fontId="70" fillId="0" borderId="29" xfId="0" applyFont="1" applyFill="1" applyBorder="1"/>
    <xf numFmtId="169" fontId="71" fillId="0" borderId="0" xfId="28" applyNumberFormat="1" applyFont="1" applyFill="1" applyBorder="1"/>
    <xf numFmtId="0" fontId="72" fillId="0" borderId="60" xfId="0" applyFont="1" applyFill="1" applyBorder="1" applyAlignment="1"/>
    <xf numFmtId="169" fontId="68" fillId="0" borderId="27" xfId="28" applyNumberFormat="1" applyFont="1" applyFill="1" applyBorder="1"/>
    <xf numFmtId="169" fontId="68" fillId="0" borderId="13" xfId="28" applyNumberFormat="1" applyFont="1" applyFill="1" applyBorder="1"/>
    <xf numFmtId="169" fontId="69" fillId="0" borderId="0" xfId="28" applyNumberFormat="1" applyFont="1" applyFill="1"/>
    <xf numFmtId="169" fontId="68" fillId="0" borderId="10" xfId="28" applyNumberFormat="1" applyFont="1" applyFill="1" applyBorder="1" applyAlignment="1">
      <alignment horizontal="center"/>
    </xf>
    <xf numFmtId="169" fontId="72" fillId="0" borderId="48" xfId="28" applyNumberFormat="1" applyFont="1" applyFill="1" applyBorder="1" applyAlignment="1">
      <alignment horizontal="center"/>
    </xf>
    <xf numFmtId="169" fontId="73" fillId="0" borderId="0" xfId="28" applyNumberFormat="1" applyFont="1" applyFill="1"/>
    <xf numFmtId="170" fontId="68" fillId="0" borderId="0" xfId="28" applyNumberFormat="1" applyFont="1" applyFill="1"/>
    <xf numFmtId="170" fontId="71" fillId="0" borderId="0" xfId="28" applyNumberFormat="1" applyFont="1" applyFill="1"/>
    <xf numFmtId="170" fontId="68" fillId="0" borderId="10" xfId="0" applyNumberFormat="1" applyFont="1" applyFill="1" applyBorder="1" applyAlignment="1">
      <alignment horizontal="center"/>
    </xf>
    <xf numFmtId="170" fontId="71" fillId="0" borderId="1" xfId="28" applyNumberFormat="1" applyFont="1" applyFill="1" applyBorder="1"/>
    <xf numFmtId="170" fontId="68" fillId="0" borderId="1" xfId="28" applyNumberFormat="1" applyFont="1" applyFill="1" applyBorder="1"/>
    <xf numFmtId="170" fontId="68" fillId="0" borderId="1" xfId="28" applyNumberFormat="1" applyFont="1" applyFill="1" applyBorder="1" applyAlignment="1">
      <alignment horizontal="center"/>
    </xf>
    <xf numFmtId="170" fontId="73" fillId="0" borderId="0" xfId="0" applyNumberFormat="1" applyFont="1" applyFill="1"/>
    <xf numFmtId="170" fontId="68" fillId="0" borderId="13" xfId="28" applyNumberFormat="1" applyFont="1" applyFill="1" applyBorder="1"/>
    <xf numFmtId="0" fontId="58" fillId="35" borderId="0" xfId="0" applyFont="1" applyFill="1"/>
    <xf numFmtId="169" fontId="26" fillId="0" borderId="26" xfId="28" applyNumberFormat="1" applyFont="1" applyFill="1" applyBorder="1" applyAlignment="1">
      <alignment horizontal="center"/>
    </xf>
    <xf numFmtId="169" fontId="26" fillId="0" borderId="48" xfId="28" applyNumberFormat="1" applyFont="1" applyFill="1" applyBorder="1" applyAlignment="1">
      <alignment horizontal="center"/>
    </xf>
    <xf numFmtId="0" fontId="58" fillId="35" borderId="0" xfId="0" applyFont="1" applyFill="1" applyBorder="1"/>
    <xf numFmtId="0" fontId="58" fillId="0" borderId="0" xfId="0" applyFont="1" applyFill="1" applyBorder="1"/>
    <xf numFmtId="0" fontId="58" fillId="40" borderId="0" xfId="0" applyFont="1" applyFill="1" applyBorder="1"/>
    <xf numFmtId="169" fontId="25" fillId="0" borderId="1" xfId="28" applyNumberFormat="1" applyFont="1" applyFill="1" applyBorder="1" applyAlignment="1">
      <alignment horizontal="center" wrapText="1"/>
    </xf>
    <xf numFmtId="0" fontId="58" fillId="34" borderId="0" xfId="0" applyFont="1" applyFill="1"/>
    <xf numFmtId="0" fontId="58" fillId="34" borderId="0" xfId="0" applyFont="1" applyFill="1" applyBorder="1"/>
    <xf numFmtId="169" fontId="25" fillId="0" borderId="1" xfId="28" applyNumberFormat="1" applyFont="1" applyFill="1" applyBorder="1" applyAlignment="1">
      <alignment horizontal="right" vertical="top" wrapText="1"/>
    </xf>
    <xf numFmtId="169" fontId="25" fillId="0" borderId="1" xfId="28" applyNumberFormat="1" applyFont="1" applyFill="1" applyBorder="1" applyAlignment="1">
      <alignment horizontal="center" vertical="center" wrapText="1"/>
    </xf>
    <xf numFmtId="169" fontId="25" fillId="0" borderId="17" xfId="28" applyNumberFormat="1" applyFont="1" applyFill="1" applyBorder="1" applyAlignment="1">
      <alignment horizontal="center" vertical="center" wrapText="1"/>
    </xf>
    <xf numFmtId="169" fontId="25" fillId="35" borderId="1" xfId="28" applyNumberFormat="1" applyFont="1" applyFill="1" applyBorder="1"/>
    <xf numFmtId="169" fontId="25" fillId="35" borderId="28" xfId="28" applyNumberFormat="1" applyFont="1" applyFill="1" applyBorder="1"/>
    <xf numFmtId="0" fontId="67" fillId="35" borderId="0" xfId="0" applyFont="1" applyFill="1" applyBorder="1"/>
    <xf numFmtId="0" fontId="67" fillId="34" borderId="0" xfId="0" applyFont="1" applyFill="1" applyBorder="1"/>
    <xf numFmtId="169" fontId="25" fillId="35" borderId="17" xfId="28" applyNumberFormat="1" applyFont="1" applyFill="1" applyBorder="1"/>
    <xf numFmtId="169" fontId="25" fillId="0" borderId="1" xfId="29" applyNumberFormat="1" applyFont="1" applyFill="1" applyBorder="1" applyAlignment="1">
      <alignment horizontal="right" vertical="center" wrapText="1"/>
    </xf>
    <xf numFmtId="169" fontId="25" fillId="0" borderId="1" xfId="28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/>
    </xf>
    <xf numFmtId="164" fontId="25" fillId="0" borderId="1" xfId="28" applyFont="1" applyFill="1" applyBorder="1" applyAlignment="1">
      <alignment horizontal="center" vertical="center" wrapText="1"/>
    </xf>
    <xf numFmtId="169" fontId="74" fillId="0" borderId="31" xfId="28" applyNumberFormat="1" applyFont="1" applyFill="1" applyBorder="1"/>
    <xf numFmtId="169" fontId="25" fillId="0" borderId="31" xfId="28" applyNumberFormat="1" applyFont="1" applyFill="1" applyBorder="1"/>
    <xf numFmtId="169" fontId="25" fillId="0" borderId="57" xfId="28" applyNumberFormat="1" applyFont="1" applyFill="1" applyBorder="1"/>
    <xf numFmtId="169" fontId="26" fillId="0" borderId="0" xfId="28" applyNumberFormat="1" applyFont="1" applyFill="1" applyBorder="1"/>
    <xf numFmtId="0" fontId="26" fillId="0" borderId="26" xfId="0" applyNumberFormat="1" applyFont="1" applyBorder="1" applyAlignment="1">
      <alignment horizontal="center" wrapText="1"/>
    </xf>
    <xf numFmtId="169" fontId="11" fillId="0" borderId="0" xfId="28" applyNumberFormat="1" applyFont="1" applyFill="1" applyAlignment="1">
      <alignment wrapText="1"/>
    </xf>
    <xf numFmtId="169" fontId="17" fillId="0" borderId="0" xfId="28" applyNumberFormat="1" applyFont="1" applyFill="1" applyBorder="1" applyAlignment="1">
      <alignment wrapText="1"/>
    </xf>
    <xf numFmtId="169" fontId="14" fillId="0" borderId="0" xfId="28" applyNumberFormat="1" applyFont="1" applyFill="1" applyBorder="1" applyAlignment="1">
      <alignment wrapText="1"/>
    </xf>
    <xf numFmtId="169" fontId="11" fillId="0" borderId="17" xfId="28" applyNumberFormat="1" applyFont="1" applyFill="1" applyBorder="1" applyAlignment="1">
      <alignment wrapText="1"/>
    </xf>
    <xf numFmtId="169" fontId="13" fillId="0" borderId="17" xfId="28" applyNumberFormat="1" applyFont="1" applyFill="1" applyBorder="1" applyAlignment="1">
      <alignment horizontal="right" wrapText="1"/>
    </xf>
    <xf numFmtId="169" fontId="13" fillId="0" borderId="17" xfId="28" applyNumberFormat="1" applyFont="1" applyFill="1" applyBorder="1" applyAlignment="1">
      <alignment wrapText="1"/>
    </xf>
    <xf numFmtId="169" fontId="13" fillId="0" borderId="13" xfId="28" applyNumberFormat="1" applyFont="1" applyFill="1" applyBorder="1" applyAlignment="1">
      <alignment horizontal="right" wrapText="1"/>
    </xf>
    <xf numFmtId="0" fontId="16" fillId="0" borderId="38" xfId="0" applyFont="1" applyFill="1" applyBorder="1"/>
    <xf numFmtId="169" fontId="0" fillId="0" borderId="1" xfId="28" applyNumberFormat="1" applyFont="1" applyBorder="1"/>
    <xf numFmtId="169" fontId="0" fillId="0" borderId="33" xfId="28" applyNumberFormat="1" applyFont="1" applyBorder="1"/>
    <xf numFmtId="169" fontId="47" fillId="0" borderId="34" xfId="28" applyNumberFormat="1" applyFont="1" applyBorder="1"/>
    <xf numFmtId="164" fontId="0" fillId="0" borderId="0" xfId="28" applyFont="1"/>
    <xf numFmtId="0" fontId="25" fillId="0" borderId="0" xfId="0" applyFont="1" applyFill="1" applyBorder="1"/>
    <xf numFmtId="0" fontId="26" fillId="37" borderId="5" xfId="0" applyNumberFormat="1" applyFont="1" applyFill="1" applyBorder="1" applyAlignment="1">
      <alignment horizontal="center" wrapText="1"/>
    </xf>
    <xf numFmtId="169" fontId="25" fillId="0" borderId="17" xfId="28" applyNumberFormat="1" applyFont="1" applyFill="1" applyBorder="1" applyAlignment="1">
      <alignment horizontal="right" vertical="center" wrapText="1"/>
    </xf>
    <xf numFmtId="0" fontId="26" fillId="0" borderId="26" xfId="0" applyNumberFormat="1" applyFont="1" applyFill="1" applyBorder="1" applyAlignment="1">
      <alignment horizontal="center" wrapText="1"/>
    </xf>
    <xf numFmtId="0" fontId="26" fillId="0" borderId="35" xfId="0" applyNumberFormat="1" applyFont="1" applyFill="1" applyBorder="1" applyAlignment="1">
      <alignment horizontal="center"/>
    </xf>
    <xf numFmtId="0" fontId="49" fillId="0" borderId="4" xfId="0" applyFont="1" applyFill="1" applyBorder="1"/>
    <xf numFmtId="0" fontId="13" fillId="0" borderId="21" xfId="0" applyFont="1" applyFill="1" applyBorder="1" applyAlignment="1">
      <alignment horizontal="left"/>
    </xf>
    <xf numFmtId="0" fontId="49" fillId="0" borderId="28" xfId="0" applyFont="1" applyFill="1" applyBorder="1"/>
    <xf numFmtId="169" fontId="13" fillId="0" borderId="28" xfId="28" applyNumberFormat="1" applyFont="1" applyFill="1" applyBorder="1" applyAlignment="1"/>
    <xf numFmtId="0" fontId="26" fillId="0" borderId="8" xfId="0" applyNumberFormat="1" applyFont="1" applyFill="1" applyBorder="1" applyAlignment="1">
      <alignment horizontal="center" wrapText="1"/>
    </xf>
    <xf numFmtId="0" fontId="26" fillId="0" borderId="34" xfId="0" applyNumberFormat="1" applyFont="1" applyFill="1" applyBorder="1" applyAlignment="1">
      <alignment horizontal="center" wrapText="1"/>
    </xf>
    <xf numFmtId="0" fontId="26" fillId="0" borderId="35" xfId="0" applyNumberFormat="1" applyFont="1" applyFill="1" applyBorder="1" applyAlignment="1">
      <alignment horizontal="center" wrapText="1"/>
    </xf>
    <xf numFmtId="169" fontId="25" fillId="0" borderId="3" xfId="28" applyNumberFormat="1" applyFont="1" applyFill="1" applyBorder="1"/>
    <xf numFmtId="0" fontId="49" fillId="35" borderId="4" xfId="0" applyFont="1" applyFill="1" applyBorder="1"/>
    <xf numFmtId="0" fontId="47" fillId="0" borderId="5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0" xfId="0" applyFont="1" applyFill="1" applyBorder="1"/>
    <xf numFmtId="0" fontId="13" fillId="0" borderId="34" xfId="0" applyNumberFormat="1" applyFont="1" applyFill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wrapText="1"/>
    </xf>
    <xf numFmtId="169" fontId="11" fillId="40" borderId="17" xfId="28" applyNumberFormat="1" applyFont="1" applyFill="1" applyBorder="1"/>
    <xf numFmtId="164" fontId="48" fillId="35" borderId="0" xfId="28" applyFont="1" applyFill="1" applyBorder="1"/>
    <xf numFmtId="0" fontId="54" fillId="40" borderId="1" xfId="0" applyFont="1" applyFill="1" applyBorder="1"/>
    <xf numFmtId="164" fontId="54" fillId="35" borderId="0" xfId="28" applyFont="1" applyFill="1" applyBorder="1"/>
    <xf numFmtId="0" fontId="48" fillId="40" borderId="1" xfId="0" applyFont="1" applyFill="1" applyBorder="1" applyAlignment="1">
      <alignment wrapText="1"/>
    </xf>
    <xf numFmtId="0" fontId="54" fillId="40" borderId="1" xfId="0" applyFont="1" applyFill="1" applyBorder="1" applyAlignment="1">
      <alignment wrapText="1"/>
    </xf>
    <xf numFmtId="164" fontId="54" fillId="40" borderId="0" xfId="28" applyFont="1" applyFill="1" applyBorder="1"/>
    <xf numFmtId="0" fontId="54" fillId="35" borderId="1" xfId="0" applyFont="1" applyFill="1" applyBorder="1"/>
    <xf numFmtId="0" fontId="77" fillId="0" borderId="3" xfId="0" applyFont="1" applyFill="1" applyBorder="1" applyAlignment="1" applyProtection="1">
      <alignment vertical="center" wrapText="1"/>
      <protection locked="0"/>
    </xf>
    <xf numFmtId="0" fontId="54" fillId="35" borderId="1" xfId="0" applyFont="1" applyFill="1" applyBorder="1" applyAlignment="1">
      <alignment horizontal="left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 wrapText="1"/>
    </xf>
    <xf numFmtId="0" fontId="48" fillId="40" borderId="1" xfId="0" applyFont="1" applyFill="1" applyBorder="1" applyAlignment="1">
      <alignment horizontal="left" vertical="center" wrapText="1"/>
    </xf>
    <xf numFmtId="164" fontId="48" fillId="40" borderId="0" xfId="28" applyFont="1" applyFill="1"/>
    <xf numFmtId="43" fontId="49" fillId="35" borderId="0" xfId="0" applyNumberFormat="1" applyFont="1" applyFill="1"/>
    <xf numFmtId="164" fontId="48" fillId="35" borderId="0" xfId="28" applyFont="1" applyFill="1"/>
    <xf numFmtId="0" fontId="25" fillId="0" borderId="4" xfId="0" applyFont="1" applyFill="1" applyBorder="1" applyAlignment="1">
      <alignment vertical="center" wrapText="1"/>
    </xf>
    <xf numFmtId="164" fontId="60" fillId="35" borderId="0" xfId="28" applyFont="1" applyFill="1" applyBorder="1"/>
    <xf numFmtId="164" fontId="49" fillId="35" borderId="0" xfId="28" applyFont="1" applyFill="1"/>
    <xf numFmtId="164" fontId="49" fillId="35" borderId="0" xfId="28" applyFont="1" applyFill="1" applyBorder="1"/>
    <xf numFmtId="0" fontId="0" fillId="0" borderId="0" xfId="0"/>
    <xf numFmtId="0" fontId="11" fillId="35" borderId="0" xfId="0" applyFont="1" applyFill="1" applyBorder="1"/>
    <xf numFmtId="0" fontId="49" fillId="35" borderId="0" xfId="0" applyFont="1" applyFill="1" applyBorder="1"/>
    <xf numFmtId="0" fontId="49" fillId="35" borderId="1" xfId="0" applyFont="1" applyFill="1" applyBorder="1"/>
    <xf numFmtId="0" fontId="49" fillId="35" borderId="0" xfId="0" applyFont="1" applyFill="1"/>
    <xf numFmtId="0" fontId="54" fillId="35" borderId="0" xfId="0" applyFont="1" applyFill="1" applyBorder="1"/>
    <xf numFmtId="169" fontId="11" fillId="0" borderId="1" xfId="51" applyNumberFormat="1" applyFont="1" applyFill="1" applyBorder="1"/>
    <xf numFmtId="169" fontId="11" fillId="0" borderId="17" xfId="0" applyNumberFormat="1" applyFont="1" applyFill="1" applyBorder="1"/>
    <xf numFmtId="0" fontId="49" fillId="0" borderId="1" xfId="0" applyFont="1" applyFill="1" applyBorder="1"/>
    <xf numFmtId="169" fontId="48" fillId="35" borderId="0" xfId="0" applyNumberFormat="1" applyFont="1" applyFill="1" applyBorder="1"/>
    <xf numFmtId="0" fontId="49" fillId="0" borderId="0" xfId="0" applyFont="1" applyFill="1" applyBorder="1"/>
    <xf numFmtId="0" fontId="49" fillId="0" borderId="1" xfId="0" applyFont="1" applyFill="1" applyBorder="1" applyAlignment="1">
      <alignment wrapText="1"/>
    </xf>
    <xf numFmtId="0" fontId="26" fillId="0" borderId="10" xfId="0" applyNumberFormat="1" applyFont="1" applyFill="1" applyBorder="1" applyAlignment="1">
      <alignment horizontal="center"/>
    </xf>
    <xf numFmtId="0" fontId="13" fillId="0" borderId="11" xfId="0" applyFont="1" applyFill="1" applyBorder="1"/>
    <xf numFmtId="0" fontId="49" fillId="38" borderId="0" xfId="0" applyFont="1" applyFill="1" applyBorder="1"/>
    <xf numFmtId="0" fontId="49" fillId="34" borderId="0" xfId="0" applyFont="1" applyFill="1" applyBorder="1"/>
    <xf numFmtId="0" fontId="13" fillId="0" borderId="4" xfId="0" applyFont="1" applyFill="1" applyBorder="1"/>
    <xf numFmtId="0" fontId="26" fillId="0" borderId="38" xfId="0" applyNumberFormat="1" applyFont="1" applyFill="1" applyBorder="1" applyAlignment="1">
      <alignment horizontal="center" wrapText="1"/>
    </xf>
    <xf numFmtId="0" fontId="26" fillId="0" borderId="0" xfId="0" applyFont="1" applyFill="1"/>
    <xf numFmtId="0" fontId="26" fillId="0" borderId="11" xfId="0" applyFont="1" applyFill="1" applyBorder="1"/>
    <xf numFmtId="0" fontId="26" fillId="0" borderId="1" xfId="0" applyFont="1" applyFill="1" applyBorder="1"/>
    <xf numFmtId="0" fontId="25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26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58" fillId="0" borderId="0" xfId="0" applyFont="1" applyFill="1" applyBorder="1"/>
    <xf numFmtId="169" fontId="25" fillId="0" borderId="1" xfId="29" applyNumberFormat="1" applyFont="1" applyFill="1" applyBorder="1"/>
    <xf numFmtId="0" fontId="58" fillId="34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11" xfId="0" applyFont="1" applyFill="1" applyBorder="1"/>
    <xf numFmtId="0" fontId="25" fillId="0" borderId="31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Alignment="1">
      <alignment wrapText="1"/>
    </xf>
    <xf numFmtId="0" fontId="49" fillId="0" borderId="28" xfId="0" applyFont="1" applyFill="1" applyBorder="1"/>
    <xf numFmtId="0" fontId="26" fillId="0" borderId="34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vertical="center"/>
    </xf>
    <xf numFmtId="0" fontId="58" fillId="0" borderId="1" xfId="0" applyFont="1" applyFill="1" applyBorder="1" applyAlignment="1">
      <alignment vertical="center" wrapText="1"/>
    </xf>
    <xf numFmtId="0" fontId="49" fillId="35" borderId="4" xfId="0" applyFont="1" applyFill="1" applyBorder="1" applyAlignment="1">
      <alignment wrapText="1"/>
    </xf>
    <xf numFmtId="0" fontId="49" fillId="0" borderId="17" xfId="0" applyFont="1" applyFill="1" applyBorder="1"/>
    <xf numFmtId="0" fontId="78" fillId="0" borderId="0" xfId="0" applyFont="1" applyAlignment="1" applyProtection="1">
      <alignment wrapText="1"/>
    </xf>
    <xf numFmtId="169" fontId="56" fillId="0" borderId="0" xfId="28" applyNumberFormat="1" applyFont="1" applyFill="1"/>
    <xf numFmtId="164" fontId="56" fillId="0" borderId="0" xfId="28" applyFont="1" applyFill="1" applyBorder="1"/>
    <xf numFmtId="172" fontId="80" fillId="0" borderId="70" xfId="0" applyNumberFormat="1" applyFont="1" applyBorder="1"/>
    <xf numFmtId="172" fontId="80" fillId="0" borderId="71" xfId="0" applyNumberFormat="1" applyFont="1" applyBorder="1"/>
    <xf numFmtId="164" fontId="80" fillId="0" borderId="71" xfId="28" applyFont="1" applyBorder="1"/>
    <xf numFmtId="169" fontId="0" fillId="0" borderId="0" xfId="28" applyNumberFormat="1" applyFont="1"/>
    <xf numFmtId="0" fontId="81" fillId="0" borderId="1" xfId="0" applyFont="1" applyBorder="1"/>
    <xf numFmtId="0" fontId="49" fillId="0" borderId="1" xfId="0" applyFont="1" applyFill="1" applyBorder="1" applyAlignment="1">
      <alignment horizontal="left" indent="1"/>
    </xf>
    <xf numFmtId="0" fontId="60" fillId="0" borderId="46" xfId="0" applyFont="1" applyBorder="1"/>
    <xf numFmtId="0" fontId="49" fillId="0" borderId="33" xfId="0" applyFont="1" applyFill="1" applyBorder="1" applyAlignment="1">
      <alignment horizontal="left" indent="1"/>
    </xf>
    <xf numFmtId="169" fontId="80" fillId="0" borderId="71" xfId="28" applyNumberFormat="1" applyFont="1" applyBorder="1"/>
    <xf numFmtId="169" fontId="80" fillId="0" borderId="1" xfId="28" applyNumberFormat="1" applyFont="1" applyBorder="1"/>
    <xf numFmtId="169" fontId="79" fillId="0" borderId="1" xfId="28" applyNumberFormat="1" applyFont="1" applyBorder="1" applyAlignment="1">
      <alignment horizontal="center"/>
    </xf>
    <xf numFmtId="0" fontId="82" fillId="0" borderId="1" xfId="0" applyFont="1" applyBorder="1"/>
    <xf numFmtId="169" fontId="83" fillId="0" borderId="1" xfId="28" applyNumberFormat="1" applyFont="1" applyBorder="1" applyAlignment="1">
      <alignment wrapText="1"/>
    </xf>
    <xf numFmtId="169" fontId="47" fillId="0" borderId="5" xfId="28" applyNumberFormat="1" applyFont="1" applyBorder="1" applyAlignment="1">
      <alignment wrapText="1"/>
    </xf>
    <xf numFmtId="169" fontId="47" fillId="0" borderId="46" xfId="28" applyNumberFormat="1" applyFont="1" applyBorder="1"/>
    <xf numFmtId="169" fontId="11" fillId="34" borderId="1" xfId="28" applyNumberFormat="1" applyFont="1" applyFill="1" applyBorder="1"/>
    <xf numFmtId="169" fontId="13" fillId="34" borderId="1" xfId="28" applyNumberFormat="1" applyFont="1" applyFill="1" applyBorder="1"/>
    <xf numFmtId="0" fontId="49" fillId="40" borderId="1" xfId="0" applyFont="1" applyFill="1" applyBorder="1"/>
    <xf numFmtId="169" fontId="11" fillId="40" borderId="1" xfId="28" applyNumberFormat="1" applyFont="1" applyFill="1" applyBorder="1"/>
    <xf numFmtId="169" fontId="13" fillId="40" borderId="27" xfId="28" applyNumberFormat="1" applyFont="1" applyFill="1" applyBorder="1"/>
    <xf numFmtId="169" fontId="13" fillId="40" borderId="13" xfId="28" applyNumberFormat="1" applyFont="1" applyFill="1" applyBorder="1"/>
    <xf numFmtId="169" fontId="49" fillId="40" borderId="1" xfId="29" applyNumberFormat="1" applyFont="1" applyFill="1" applyBorder="1"/>
    <xf numFmtId="169" fontId="13" fillId="41" borderId="1" xfId="28" applyNumberFormat="1" applyFont="1" applyFill="1" applyBorder="1"/>
    <xf numFmtId="169" fontId="11" fillId="41" borderId="17" xfId="28" applyNumberFormat="1" applyFont="1" applyFill="1" applyBorder="1"/>
    <xf numFmtId="0" fontId="11" fillId="41" borderId="1" xfId="0" applyFont="1" applyFill="1" applyBorder="1"/>
    <xf numFmtId="164" fontId="0" fillId="0" borderId="1" xfId="28" applyFont="1" applyBorder="1"/>
    <xf numFmtId="169" fontId="47" fillId="0" borderId="72" xfId="28" applyNumberFormat="1" applyFont="1" applyBorder="1"/>
    <xf numFmtId="164" fontId="0" fillId="0" borderId="0" xfId="0" applyNumberFormat="1"/>
    <xf numFmtId="164" fontId="47" fillId="0" borderId="0" xfId="28" applyFont="1"/>
    <xf numFmtId="169" fontId="60" fillId="35" borderId="1" xfId="28" applyNumberFormat="1" applyFont="1" applyFill="1" applyBorder="1"/>
    <xf numFmtId="169" fontId="26" fillId="0" borderId="10" xfId="28" applyNumberFormat="1" applyFont="1" applyFill="1" applyBorder="1" applyAlignment="1">
      <alignment horizontal="center" wrapText="1"/>
    </xf>
    <xf numFmtId="169" fontId="47" fillId="0" borderId="5" xfId="28" applyNumberFormat="1" applyFont="1" applyBorder="1"/>
    <xf numFmtId="164" fontId="47" fillId="0" borderId="5" xfId="28" applyFont="1" applyBorder="1"/>
    <xf numFmtId="3" fontId="0" fillId="0" borderId="0" xfId="0" applyNumberFormat="1"/>
    <xf numFmtId="164" fontId="47" fillId="0" borderId="72" xfId="28" applyFont="1" applyBorder="1"/>
    <xf numFmtId="164" fontId="0" fillId="0" borderId="33" xfId="28" applyFont="1" applyBorder="1"/>
    <xf numFmtId="0" fontId="11" fillId="0" borderId="1" xfId="0" applyFont="1" applyBorder="1"/>
    <xf numFmtId="169" fontId="11" fillId="35" borderId="1" xfId="51" applyNumberFormat="1" applyFont="1" applyFill="1" applyBorder="1"/>
    <xf numFmtId="169" fontId="49" fillId="35" borderId="1" xfId="0" applyNumberFormat="1" applyFont="1" applyFill="1" applyBorder="1"/>
    <xf numFmtId="169" fontId="11" fillId="35" borderId="1" xfId="0" applyNumberFormat="1" applyFont="1" applyFill="1" applyBorder="1"/>
    <xf numFmtId="169" fontId="11" fillId="35" borderId="17" xfId="51" applyNumberFormat="1" applyFont="1" applyFill="1" applyBorder="1"/>
    <xf numFmtId="169" fontId="11" fillId="0" borderId="17" xfId="51" applyNumberFormat="1" applyFont="1" applyFill="1" applyBorder="1"/>
    <xf numFmtId="0" fontId="11" fillId="0" borderId="1" xfId="0" applyFont="1" applyFill="1" applyBorder="1" applyAlignment="1">
      <alignment wrapText="1"/>
    </xf>
    <xf numFmtId="171" fontId="11" fillId="0" borderId="1" xfId="51" applyNumberFormat="1" applyFont="1" applyFill="1" applyBorder="1" applyAlignment="1">
      <alignment horizontal="right"/>
    </xf>
    <xf numFmtId="171" fontId="11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/>
    <xf numFmtId="0" fontId="49" fillId="0" borderId="1" xfId="0" applyFont="1" applyFill="1" applyBorder="1" applyAlignment="1">
      <alignment wrapText="1"/>
    </xf>
    <xf numFmtId="169" fontId="11" fillId="35" borderId="17" xfId="0" applyNumberFormat="1" applyFont="1" applyFill="1" applyBorder="1"/>
    <xf numFmtId="0" fontId="58" fillId="34" borderId="0" xfId="0" applyFont="1" applyFill="1" applyBorder="1"/>
    <xf numFmtId="169" fontId="25" fillId="0" borderId="1" xfId="29" applyNumberFormat="1" applyFont="1" applyFill="1" applyBorder="1" applyAlignment="1">
      <alignment horizontal="right" vertical="center" wrapText="1"/>
    </xf>
    <xf numFmtId="169" fontId="49" fillId="35" borderId="17" xfId="0" applyNumberFormat="1" applyFont="1" applyFill="1" applyBorder="1"/>
    <xf numFmtId="0" fontId="29" fillId="0" borderId="3" xfId="0" applyFont="1" applyFill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33" xfId="0" applyFont="1" applyFill="1" applyBorder="1" applyAlignment="1">
      <alignment vertical="center" wrapText="1"/>
    </xf>
    <xf numFmtId="0" fontId="84" fillId="0" borderId="1" xfId="0" applyFont="1" applyFill="1" applyBorder="1" applyAlignment="1">
      <alignment vertical="center"/>
    </xf>
    <xf numFmtId="0" fontId="84" fillId="0" borderId="1" xfId="0" applyFont="1" applyFill="1" applyBorder="1" applyAlignment="1">
      <alignment vertical="center" wrapText="1"/>
    </xf>
    <xf numFmtId="0" fontId="0" fillId="0" borderId="1" xfId="0" applyBorder="1"/>
    <xf numFmtId="0" fontId="11" fillId="0" borderId="0" xfId="0" applyFont="1" applyBorder="1"/>
    <xf numFmtId="0" fontId="11" fillId="0" borderId="1" xfId="0" applyFont="1" applyBorder="1"/>
    <xf numFmtId="0" fontId="49" fillId="35" borderId="0" xfId="0" applyFont="1" applyFill="1" applyBorder="1"/>
    <xf numFmtId="0" fontId="49" fillId="35" borderId="1" xfId="0" applyFont="1" applyFill="1" applyBorder="1"/>
    <xf numFmtId="0" fontId="15" fillId="35" borderId="0" xfId="0" applyFont="1" applyFill="1" applyBorder="1"/>
    <xf numFmtId="167" fontId="13" fillId="35" borderId="1" xfId="0" applyNumberFormat="1" applyFont="1" applyFill="1" applyBorder="1"/>
    <xf numFmtId="169" fontId="11" fillId="0" borderId="1" xfId="51" applyNumberFormat="1" applyFont="1" applyFill="1" applyBorder="1"/>
    <xf numFmtId="167" fontId="13" fillId="35" borderId="17" xfId="0" applyNumberFormat="1" applyFont="1" applyFill="1" applyBorder="1"/>
    <xf numFmtId="0" fontId="13" fillId="35" borderId="3" xfId="0" applyFont="1" applyFill="1" applyBorder="1"/>
    <xf numFmtId="0" fontId="11" fillId="35" borderId="4" xfId="0" applyFont="1" applyFill="1" applyBorder="1"/>
    <xf numFmtId="169" fontId="48" fillId="35" borderId="0" xfId="0" applyNumberFormat="1" applyFont="1" applyFill="1" applyBorder="1"/>
    <xf numFmtId="0" fontId="26" fillId="0" borderId="10" xfId="0" applyNumberFormat="1" applyFont="1" applyFill="1" applyBorder="1" applyAlignment="1">
      <alignment horizontal="center"/>
    </xf>
    <xf numFmtId="0" fontId="57" fillId="0" borderId="48" xfId="0" applyFont="1" applyFill="1" applyBorder="1" applyAlignment="1">
      <alignment horizontal="center"/>
    </xf>
    <xf numFmtId="0" fontId="26" fillId="0" borderId="38" xfId="0" applyNumberFormat="1" applyFont="1" applyFill="1" applyBorder="1" applyAlignment="1">
      <alignment horizontal="center" wrapText="1"/>
    </xf>
    <xf numFmtId="0" fontId="26" fillId="0" borderId="34" xfId="0" applyNumberFormat="1" applyFont="1" applyFill="1" applyBorder="1" applyAlignment="1">
      <alignment horizontal="center" wrapText="1"/>
    </xf>
    <xf numFmtId="0" fontId="16" fillId="0" borderId="11" xfId="0" applyFont="1" applyFill="1" applyBorder="1"/>
    <xf numFmtId="169" fontId="66" fillId="0" borderId="7" xfId="28" applyNumberFormat="1" applyFont="1" applyFill="1" applyBorder="1" applyAlignment="1">
      <alignment horizontal="center" wrapText="1"/>
    </xf>
    <xf numFmtId="169" fontId="63" fillId="0" borderId="1" xfId="28" applyNumberFormat="1" applyFont="1" applyFill="1" applyBorder="1"/>
    <xf numFmtId="169" fontId="63" fillId="0" borderId="33" xfId="28" applyNumberFormat="1" applyFont="1" applyFill="1" applyBorder="1"/>
    <xf numFmtId="43" fontId="0" fillId="0" borderId="0" xfId="0" applyNumberFormat="1"/>
    <xf numFmtId="164" fontId="0" fillId="0" borderId="0" xfId="28" applyFont="1" applyBorder="1"/>
    <xf numFmtId="164" fontId="47" fillId="0" borderId="0" xfId="28" applyFont="1" applyBorder="1"/>
    <xf numFmtId="0" fontId="13" fillId="0" borderId="35" xfId="0" applyNumberFormat="1" applyFont="1" applyFill="1" applyBorder="1" applyAlignment="1">
      <alignment horizontal="center"/>
    </xf>
    <xf numFmtId="0" fontId="13" fillId="0" borderId="34" xfId="0" applyFont="1" applyFill="1" applyBorder="1" applyAlignment="1">
      <alignment horizontal="left"/>
    </xf>
    <xf numFmtId="0" fontId="48" fillId="0" borderId="1" xfId="0" applyFont="1" applyFill="1" applyBorder="1" applyAlignment="1">
      <alignment horizontal="left" indent="1"/>
    </xf>
    <xf numFmtId="164" fontId="48" fillId="0" borderId="0" xfId="28" applyFont="1"/>
    <xf numFmtId="169" fontId="25" fillId="34" borderId="17" xfId="28" applyNumberFormat="1" applyFont="1" applyFill="1" applyBorder="1"/>
    <xf numFmtId="169" fontId="25" fillId="34" borderId="17" xfId="28" applyNumberFormat="1" applyFont="1" applyFill="1" applyBorder="1" applyAlignment="1">
      <alignment horizontal="center" vertical="center" wrapText="1"/>
    </xf>
    <xf numFmtId="169" fontId="25" fillId="34" borderId="1" xfId="28" applyNumberFormat="1" applyFont="1" applyFill="1" applyBorder="1"/>
    <xf numFmtId="169" fontId="26" fillId="34" borderId="1" xfId="28" applyNumberFormat="1" applyFont="1" applyFill="1" applyBorder="1"/>
    <xf numFmtId="169" fontId="11" fillId="34" borderId="17" xfId="28" applyNumberFormat="1" applyFont="1" applyFill="1" applyBorder="1"/>
    <xf numFmtId="169" fontId="0" fillId="0" borderId="1" xfId="28" applyNumberFormat="1" applyFont="1" applyFill="1" applyBorder="1"/>
    <xf numFmtId="164" fontId="0" fillId="0" borderId="1" xfId="28" applyFont="1" applyFill="1" applyBorder="1"/>
    <xf numFmtId="164" fontId="47" fillId="0" borderId="46" xfId="28" applyFont="1" applyBorder="1"/>
    <xf numFmtId="169" fontId="5" fillId="34" borderId="1" xfId="28" applyNumberFormat="1" applyFont="1" applyFill="1" applyBorder="1"/>
    <xf numFmtId="0" fontId="49" fillId="34" borderId="1" xfId="0" applyFont="1" applyFill="1" applyBorder="1"/>
    <xf numFmtId="169" fontId="48" fillId="34" borderId="0" xfId="0" applyNumberFormat="1" applyFont="1" applyFill="1" applyBorder="1"/>
    <xf numFmtId="0" fontId="0" fillId="34" borderId="0" xfId="0" applyFill="1" applyBorder="1"/>
    <xf numFmtId="164" fontId="15" fillId="37" borderId="34" xfId="28" applyFont="1" applyFill="1" applyBorder="1" applyAlignment="1">
      <alignment horizontal="center"/>
    </xf>
    <xf numFmtId="164" fontId="31" fillId="0" borderId="3" xfId="28" applyFont="1" applyBorder="1"/>
    <xf numFmtId="164" fontId="31" fillId="0" borderId="1" xfId="28" applyFont="1" applyBorder="1"/>
    <xf numFmtId="164" fontId="5" fillId="0" borderId="4" xfId="28" applyFont="1" applyBorder="1"/>
    <xf numFmtId="164" fontId="13" fillId="0" borderId="1" xfId="28" applyFont="1" applyBorder="1"/>
    <xf numFmtId="164" fontId="13" fillId="0" borderId="0" xfId="28" applyFont="1" applyBorder="1"/>
    <xf numFmtId="164" fontId="31" fillId="0" borderId="8" xfId="28" applyFont="1" applyBorder="1"/>
    <xf numFmtId="164" fontId="31" fillId="0" borderId="31" xfId="28" applyFont="1" applyBorder="1"/>
    <xf numFmtId="164" fontId="47" fillId="36" borderId="32" xfId="28" applyFont="1" applyFill="1" applyBorder="1"/>
    <xf numFmtId="164" fontId="47" fillId="0" borderId="8" xfId="28" applyFont="1" applyBorder="1"/>
    <xf numFmtId="164" fontId="31" fillId="0" borderId="0" xfId="28" applyFont="1" applyBorder="1"/>
    <xf numFmtId="164" fontId="31" fillId="0" borderId="32" xfId="28" applyFont="1" applyBorder="1"/>
    <xf numFmtId="164" fontId="47" fillId="36" borderId="31" xfId="28" applyFont="1" applyFill="1" applyBorder="1"/>
    <xf numFmtId="164" fontId="60" fillId="0" borderId="0" xfId="28" applyFont="1"/>
    <xf numFmtId="0" fontId="0" fillId="35" borderId="0" xfId="0" applyFill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7" fontId="13" fillId="0" borderId="1" xfId="0" applyNumberFormat="1" applyFont="1" applyBorder="1" applyAlignment="1">
      <alignment horizontal="left"/>
    </xf>
    <xf numFmtId="0" fontId="47" fillId="0" borderId="17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9" fillId="0" borderId="4" xfId="0" applyFont="1" applyFill="1" applyBorder="1" applyAlignment="1">
      <alignment wrapText="1"/>
    </xf>
    <xf numFmtId="169" fontId="60" fillId="0" borderId="0" xfId="0" applyNumberFormat="1" applyFont="1" applyFill="1" applyBorder="1"/>
    <xf numFmtId="164" fontId="49" fillId="0" borderId="1" xfId="28" applyFont="1" applyFill="1" applyBorder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3 2" xfId="51"/>
    <cellStyle name="Comma 3 2 2" xfId="56"/>
    <cellStyle name="Comma 4" xfId="50"/>
    <cellStyle name="Comma 4 2" xfId="55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11" xfId="40"/>
    <cellStyle name="Note" xfId="41" builtinId="10" customBuiltin="1"/>
    <cellStyle name="Note 2" xfId="42"/>
    <cellStyle name="Note 2 2" xfId="53"/>
    <cellStyle name="Note 3" xfId="43"/>
    <cellStyle name="Note 3 2" xfId="54"/>
    <cellStyle name="Note 4" xfId="44"/>
    <cellStyle name="Note 5" xfId="52"/>
    <cellStyle name="Output" xfId="45" builtinId="21" customBuiltin="1"/>
    <cellStyle name="Title" xfId="46" builtinId="15" customBuiltin="1"/>
    <cellStyle name="Title 2" xfId="47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2</xdr:row>
      <xdr:rowOff>361950</xdr:rowOff>
    </xdr:from>
    <xdr:to>
      <xdr:col>9</xdr:col>
      <xdr:colOff>85771</xdr:colOff>
      <xdr:row>5</xdr:row>
      <xdr:rowOff>83735</xdr:rowOff>
    </xdr:to>
    <xdr:sp macro="" textlink="">
      <xdr:nvSpPr>
        <xdr:cNvPr id="3" name="WordArt 2" descr="White marbl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1626" y="733425"/>
          <a:ext cx="5213350" cy="679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en-ZA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MOPANI DISTRICT MUNICIPALITY</a:t>
          </a:r>
        </a:p>
      </xdr:txBody>
    </xdr:sp>
    <xdr:clientData/>
  </xdr:twoCellAnchor>
  <xdr:twoCellAnchor>
    <xdr:from>
      <xdr:col>2</xdr:col>
      <xdr:colOff>336550</xdr:colOff>
      <xdr:row>26</xdr:row>
      <xdr:rowOff>1905</xdr:rowOff>
    </xdr:from>
    <xdr:to>
      <xdr:col>15</xdr:col>
      <xdr:colOff>165084</xdr:colOff>
      <xdr:row>34</xdr:row>
      <xdr:rowOff>62968</xdr:rowOff>
    </xdr:to>
    <xdr:sp macro="" textlink="">
      <xdr:nvSpPr>
        <xdr:cNvPr id="112217" name="WordArt 3" descr="White marble">
          <a:extLst>
            <a:ext uri="{FF2B5EF4-FFF2-40B4-BE49-F238E27FC236}">
              <a16:creationId xmlns:a16="http://schemas.microsoft.com/office/drawing/2014/main" id="{00000000-0008-0000-0000-000059B60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33525" y="5362575"/>
          <a:ext cx="7772400" cy="19526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56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endParaRPr lang="en-ZA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atin typeface="Arial Rounded MT Bold" panose="020F0704030504030204" pitchFamily="34" charset="0"/>
          </a:endParaRPr>
        </a:p>
      </xdr:txBody>
    </xdr:sp>
    <xdr:clientData/>
  </xdr:twoCellAnchor>
  <xdr:twoCellAnchor>
    <xdr:from>
      <xdr:col>2</xdr:col>
      <xdr:colOff>156520</xdr:colOff>
      <xdr:row>30</xdr:row>
      <xdr:rowOff>228541</xdr:rowOff>
    </xdr:from>
    <xdr:to>
      <xdr:col>10</xdr:col>
      <xdr:colOff>272819</xdr:colOff>
      <xdr:row>34</xdr:row>
      <xdr:rowOff>62352</xdr:rowOff>
    </xdr:to>
    <xdr:sp macro="" textlink="">
      <xdr:nvSpPr>
        <xdr:cNvPr id="6" name="WordArt 2" descr="White marbl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 rot="21094909">
          <a:off x="1334445" y="6340416"/>
          <a:ext cx="4989917" cy="968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en-ZA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DRAFT ADJUSTMENT</a:t>
          </a:r>
          <a:r>
            <a:rPr lang="en-ZA" sz="3600" kern="10" spc="0" baseline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 BUDGET</a:t>
          </a:r>
          <a:r>
            <a:rPr lang="en-ZA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 2011/2012-2013/2014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171450</xdr:rowOff>
    </xdr:from>
    <xdr:to>
      <xdr:col>16</xdr:col>
      <xdr:colOff>228600</xdr:colOff>
      <xdr:row>35</xdr:row>
      <xdr:rowOff>171450</xdr:rowOff>
    </xdr:to>
    <xdr:sp macro="" textlink="">
      <xdr:nvSpPr>
        <xdr:cNvPr id="2" name="WordArt 11" descr="White marbl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048375"/>
          <a:ext cx="9982200" cy="7620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en-US" sz="3600" u="sng" strike="sngStrike" kern="10" cap="small" spc="0" baseline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atin typeface="Arial Rounded MT Bold"/>
            </a:rPr>
            <a:t>FINAL ADJUSTMENT </a:t>
          </a:r>
          <a:r>
            <a:rPr lang="en-US" sz="3600" u="sng" strike="sngStrike" kern="10" cap="small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atin typeface="Arial Rounded MT Bold"/>
            </a:rPr>
            <a:t>BUDGET(FEBRUARY 2021)</a:t>
          </a:r>
        </a:p>
      </xdr:txBody>
    </xdr:sp>
    <xdr:clientData/>
  </xdr:twoCellAnchor>
  <xdr:twoCellAnchor>
    <xdr:from>
      <xdr:col>0</xdr:col>
      <xdr:colOff>136525</xdr:colOff>
      <xdr:row>2</xdr:row>
      <xdr:rowOff>85725</xdr:rowOff>
    </xdr:from>
    <xdr:to>
      <xdr:col>13</xdr:col>
      <xdr:colOff>593725</xdr:colOff>
      <xdr:row>6</xdr:row>
      <xdr:rowOff>85725</xdr:rowOff>
    </xdr:to>
    <xdr:sp macro="" textlink="">
      <xdr:nvSpPr>
        <xdr:cNvPr id="3" name="WordArt 12" descr="White marbl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52625" y="466725"/>
          <a:ext cx="8391525" cy="76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en-US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MOPANI DISTRICT MUNICIPALITY</a:t>
          </a:r>
        </a:p>
      </xdr:txBody>
    </xdr:sp>
    <xdr:clientData/>
  </xdr:twoCellAnchor>
  <xdr:twoCellAnchor>
    <xdr:from>
      <xdr:col>1</xdr:col>
      <xdr:colOff>279400</xdr:colOff>
      <xdr:row>38</xdr:row>
      <xdr:rowOff>78740</xdr:rowOff>
    </xdr:from>
    <xdr:to>
      <xdr:col>12</xdr:col>
      <xdr:colOff>279400</xdr:colOff>
      <xdr:row>43</xdr:row>
      <xdr:rowOff>161823</xdr:rowOff>
    </xdr:to>
    <xdr:sp macro="" textlink="">
      <xdr:nvSpPr>
        <xdr:cNvPr id="4" name="WordArt 13" descr="White marbl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05100" y="7305675"/>
          <a:ext cx="6705600" cy="10287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en-US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Rounded MT Bold"/>
            </a:rPr>
            <a:t>2020-2021;2021-2022;2022-2023</a:t>
          </a:r>
        </a:p>
      </xdr:txBody>
    </xdr:sp>
    <xdr:clientData/>
  </xdr:twoCellAnchor>
  <xdr:twoCellAnchor>
    <xdr:from>
      <xdr:col>3</xdr:col>
      <xdr:colOff>19050</xdr:colOff>
      <xdr:row>8</xdr:row>
      <xdr:rowOff>66675</xdr:rowOff>
    </xdr:from>
    <xdr:to>
      <xdr:col>11</xdr:col>
      <xdr:colOff>38100</xdr:colOff>
      <xdr:row>28</xdr:row>
      <xdr:rowOff>180975</xdr:rowOff>
    </xdr:to>
    <xdr:pic>
      <xdr:nvPicPr>
        <xdr:cNvPr id="173251" name="Picture 4" descr="MDM_logo">
          <a:extLst>
            <a:ext uri="{FF2B5EF4-FFF2-40B4-BE49-F238E27FC236}">
              <a16:creationId xmlns:a16="http://schemas.microsoft.com/office/drawing/2014/main" id="{00000000-0008-0000-0100-0000C3A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590675"/>
          <a:ext cx="4895850" cy="392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95.bin"/></Relationships>
</file>

<file path=xl/worksheets/_rels/sheet10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96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99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88.bin"/></Relationships>
</file>

<file path=xl/worksheets/_rels/sheet9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89.bin"/></Relationships>
</file>

<file path=xl/worksheets/_rels/sheet9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9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9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5"/>
  <sheetViews>
    <sheetView view="pageBreakPreview" topLeftCell="A6" zoomScale="60" zoomScaleNormal="100" workbookViewId="0"/>
  </sheetViews>
  <sheetFormatPr defaultColWidth="8.85546875" defaultRowHeight="15" x14ac:dyDescent="0.25"/>
  <cols>
    <col min="17" max="17" width="7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1" customFormat="1" ht="45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s="30" customFormat="1" ht="16.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4.25" x14ac:dyDescent="0.55000000000000004">
      <c r="A31" s="2"/>
      <c r="B31" s="2"/>
      <c r="C31" s="2"/>
      <c r="D31" s="2"/>
      <c r="E31" s="2"/>
      <c r="F31" s="2"/>
      <c r="G31" s="6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</sheetData>
  <pageMargins left="0.7" right="0.7" top="0.75" bottom="0.75" header="0.3" footer="0.3"/>
  <pageSetup paperSize="9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25"/>
  <sheetViews>
    <sheetView view="pageBreakPreview" zoomScale="135" zoomScaleNormal="100" zoomScaleSheetLayoutView="90" workbookViewId="0">
      <selection activeCell="A29" sqref="A29"/>
    </sheetView>
  </sheetViews>
  <sheetFormatPr defaultColWidth="9.28515625" defaultRowHeight="15" x14ac:dyDescent="0.25"/>
  <cols>
    <col min="1" max="1" width="35.7109375" style="19" customWidth="1"/>
    <col min="2" max="2" width="17.42578125" style="152" hidden="1" customWidth="1"/>
    <col min="3" max="5" width="16.7109375" style="247" customWidth="1"/>
    <col min="6" max="6" width="17.42578125" style="247" customWidth="1"/>
    <col min="7" max="7" width="16.7109375" style="247" customWidth="1"/>
    <col min="8" max="8" width="18" style="63" customWidth="1"/>
    <col min="9" max="9" width="14" style="19" customWidth="1"/>
    <col min="10" max="16384" width="9.28515625" style="19"/>
  </cols>
  <sheetData>
    <row r="2" spans="1:9" ht="15.75" x14ac:dyDescent="0.25">
      <c r="A2" s="252" t="s">
        <v>791</v>
      </c>
      <c r="B2" s="201"/>
      <c r="C2" s="356"/>
      <c r="D2" s="356"/>
      <c r="E2" s="356"/>
      <c r="F2" s="356"/>
      <c r="G2" s="356"/>
      <c r="H2" s="17"/>
    </row>
    <row r="3" spans="1:9" ht="15.75" thickBot="1" x14ac:dyDescent="0.3">
      <c r="I3" s="18"/>
    </row>
    <row r="4" spans="1:9" s="18" customFormat="1" ht="36.75" customHeight="1" thickBot="1" x14ac:dyDescent="0.3">
      <c r="A4" s="337" t="s">
        <v>39</v>
      </c>
      <c r="B4" s="338" t="s">
        <v>393</v>
      </c>
      <c r="C4" s="604" t="s">
        <v>789</v>
      </c>
      <c r="D4" s="604" t="s">
        <v>800</v>
      </c>
      <c r="E4" s="715" t="s">
        <v>87</v>
      </c>
      <c r="F4" s="357" t="s">
        <v>164</v>
      </c>
      <c r="G4" s="604" t="s">
        <v>799</v>
      </c>
      <c r="H4" s="339" t="s">
        <v>556</v>
      </c>
      <c r="I4" s="336" t="s">
        <v>644</v>
      </c>
    </row>
    <row r="5" spans="1:9" s="18" customFormat="1" x14ac:dyDescent="0.25">
      <c r="A5" s="225" t="s">
        <v>70</v>
      </c>
      <c r="B5" s="202">
        <v>12284631</v>
      </c>
      <c r="C5" s="358">
        <v>11010076.4375</v>
      </c>
      <c r="D5" s="370">
        <v>16640230</v>
      </c>
      <c r="E5" s="370">
        <f>C5-D5</f>
        <v>-5630153.5625</v>
      </c>
      <c r="F5" s="370">
        <v>0</v>
      </c>
      <c r="G5" s="370">
        <f>C5+F5</f>
        <v>11010076.4375</v>
      </c>
      <c r="H5" s="226">
        <f>C5*6.25%+C5</f>
        <v>11698206.21484375</v>
      </c>
      <c r="I5" s="340">
        <f>H5*6.25%+H5</f>
        <v>12429344.103271484</v>
      </c>
    </row>
    <row r="6" spans="1:9" s="18" customFormat="1" x14ac:dyDescent="0.25">
      <c r="A6" s="50" t="s">
        <v>71</v>
      </c>
      <c r="B6" s="203">
        <v>1111470</v>
      </c>
      <c r="C6" s="358">
        <v>1180936.875</v>
      </c>
      <c r="D6" s="370">
        <v>410397</v>
      </c>
      <c r="E6" s="370">
        <f t="shared" ref="E6:E9" si="0">C6-D6</f>
        <v>770539.875</v>
      </c>
      <c r="F6" s="370">
        <v>-320000</v>
      </c>
      <c r="G6" s="370">
        <f t="shared" ref="G6:G9" si="1">C6+F6</f>
        <v>860936.875</v>
      </c>
      <c r="H6" s="226">
        <f>C6*6.25%+C6</f>
        <v>1254745.4296875</v>
      </c>
      <c r="I6" s="340">
        <f t="shared" ref="C6:I19" si="2">H6*6.25%+H6</f>
        <v>1333167.0190429688</v>
      </c>
    </row>
    <row r="7" spans="1:9" s="18" customFormat="1" x14ac:dyDescent="0.25">
      <c r="A7" s="50" t="s">
        <v>843</v>
      </c>
      <c r="B7" s="203"/>
      <c r="C7" s="358">
        <v>0</v>
      </c>
      <c r="D7" s="370">
        <v>168282</v>
      </c>
      <c r="E7" s="370">
        <f t="shared" si="0"/>
        <v>-168282</v>
      </c>
      <c r="F7" s="370">
        <v>320000</v>
      </c>
      <c r="G7" s="370">
        <f t="shared" si="1"/>
        <v>320000</v>
      </c>
      <c r="H7" s="226">
        <v>0</v>
      </c>
      <c r="I7" s="340">
        <v>0</v>
      </c>
    </row>
    <row r="8" spans="1:9" s="18" customFormat="1" x14ac:dyDescent="0.25">
      <c r="A8" s="253" t="s">
        <v>844</v>
      </c>
      <c r="B8" s="203"/>
      <c r="C8" s="358">
        <v>0</v>
      </c>
      <c r="D8" s="370">
        <v>448412</v>
      </c>
      <c r="E8" s="370">
        <f t="shared" si="0"/>
        <v>-448412</v>
      </c>
      <c r="F8" s="370">
        <v>900000</v>
      </c>
      <c r="G8" s="370">
        <f t="shared" si="1"/>
        <v>900000</v>
      </c>
      <c r="H8" s="226"/>
      <c r="I8" s="340"/>
    </row>
    <row r="9" spans="1:9" s="272" customFormat="1" x14ac:dyDescent="0.25">
      <c r="A9" s="253" t="s">
        <v>72</v>
      </c>
      <c r="B9" s="373">
        <v>0</v>
      </c>
      <c r="C9" s="358">
        <v>2042344</v>
      </c>
      <c r="D9" s="358">
        <v>7888</v>
      </c>
      <c r="E9" s="370">
        <f t="shared" si="0"/>
        <v>2034456</v>
      </c>
      <c r="F9" s="358">
        <v>-900000</v>
      </c>
      <c r="G9" s="370">
        <f t="shared" si="1"/>
        <v>1142344</v>
      </c>
      <c r="H9" s="370">
        <f>C9*6.25%+C9</f>
        <v>2169990.5</v>
      </c>
      <c r="I9" s="371">
        <f t="shared" si="2"/>
        <v>2305614.90625</v>
      </c>
    </row>
    <row r="10" spans="1:9" s="18" customFormat="1" x14ac:dyDescent="0.25">
      <c r="A10" s="342" t="s">
        <v>50</v>
      </c>
      <c r="B10" s="89">
        <f t="shared" ref="B10:G10" si="3">SUM(B5:B9)</f>
        <v>13396101</v>
      </c>
      <c r="C10" s="359">
        <f t="shared" si="3"/>
        <v>14233357.3125</v>
      </c>
      <c r="D10" s="359">
        <f t="shared" si="3"/>
        <v>17675209</v>
      </c>
      <c r="E10" s="359">
        <f t="shared" si="3"/>
        <v>-3441851.6875</v>
      </c>
      <c r="F10" s="359">
        <f t="shared" si="3"/>
        <v>0</v>
      </c>
      <c r="G10" s="359">
        <f t="shared" si="3"/>
        <v>14233357.3125</v>
      </c>
      <c r="H10" s="359">
        <f>C10*6.25%+C10</f>
        <v>15122942.14453125</v>
      </c>
      <c r="I10" s="380">
        <f>H10*6.25%+H10</f>
        <v>16068126.028564453</v>
      </c>
    </row>
    <row r="11" spans="1:9" s="18" customFormat="1" x14ac:dyDescent="0.25">
      <c r="A11" s="60"/>
      <c r="B11" s="89"/>
      <c r="C11" s="358">
        <f t="shared" si="2"/>
        <v>0</v>
      </c>
      <c r="D11" s="370"/>
      <c r="E11" s="370"/>
      <c r="F11" s="370"/>
      <c r="G11" s="370"/>
      <c r="H11" s="226"/>
      <c r="I11" s="340"/>
    </row>
    <row r="12" spans="1:9" x14ac:dyDescent="0.25">
      <c r="A12" s="50" t="s">
        <v>211</v>
      </c>
      <c r="B12" s="148">
        <v>299560</v>
      </c>
      <c r="C12" s="358">
        <f t="shared" si="2"/>
        <v>318282.5</v>
      </c>
      <c r="D12" s="370"/>
      <c r="E12" s="370">
        <f>C12-D12</f>
        <v>318282.5</v>
      </c>
      <c r="F12" s="370">
        <v>0</v>
      </c>
      <c r="G12" s="370">
        <f t="shared" ref="G12" si="4">C12+F12</f>
        <v>318282.5</v>
      </c>
      <c r="H12" s="226">
        <f>C12*6.25%+C12</f>
        <v>338175.15625</v>
      </c>
      <c r="I12" s="340">
        <f t="shared" si="2"/>
        <v>359311.103515625</v>
      </c>
    </row>
    <row r="13" spans="1:9" x14ac:dyDescent="0.25">
      <c r="A13" s="342" t="s">
        <v>211</v>
      </c>
      <c r="B13" s="89">
        <f>B12</f>
        <v>299560</v>
      </c>
      <c r="C13" s="359">
        <f t="shared" si="2"/>
        <v>318282.5</v>
      </c>
      <c r="D13" s="359">
        <f t="shared" si="2"/>
        <v>338175.15625</v>
      </c>
      <c r="E13" s="359">
        <f t="shared" si="2"/>
        <v>359311.103515625</v>
      </c>
      <c r="F13" s="359">
        <f>SUM(F12)</f>
        <v>0</v>
      </c>
      <c r="G13" s="359">
        <f>G12</f>
        <v>318282.5</v>
      </c>
      <c r="H13" s="354">
        <f>C13*6.25%+C13</f>
        <v>338175.15625</v>
      </c>
      <c r="I13" s="355">
        <f t="shared" si="2"/>
        <v>359311.103515625</v>
      </c>
    </row>
    <row r="14" spans="1:9" s="18" customFormat="1" x14ac:dyDescent="0.25">
      <c r="A14" s="60"/>
      <c r="B14" s="89"/>
      <c r="C14" s="358"/>
      <c r="D14" s="370"/>
      <c r="E14" s="370"/>
      <c r="F14" s="370"/>
      <c r="G14" s="370"/>
      <c r="H14" s="226"/>
      <c r="I14" s="340"/>
    </row>
    <row r="15" spans="1:9" s="18" customFormat="1" x14ac:dyDescent="0.25">
      <c r="A15" s="50" t="s">
        <v>54</v>
      </c>
      <c r="B15" s="91">
        <v>86096</v>
      </c>
      <c r="C15" s="358">
        <f t="shared" si="2"/>
        <v>91477</v>
      </c>
      <c r="D15" s="370"/>
      <c r="E15" s="370">
        <f t="shared" ref="E15:E21" si="5">C15-D15</f>
        <v>91477</v>
      </c>
      <c r="F15" s="370">
        <v>0</v>
      </c>
      <c r="G15" s="370">
        <f t="shared" ref="G15:G21" si="6">C15+F15</f>
        <v>91477</v>
      </c>
      <c r="H15" s="226">
        <f>C15*6.25%+C15</f>
        <v>97194.3125</v>
      </c>
      <c r="I15" s="340">
        <f t="shared" si="2"/>
        <v>103268.95703125</v>
      </c>
    </row>
    <row r="16" spans="1:9" s="18" customFormat="1" x14ac:dyDescent="0.25">
      <c r="A16" s="96" t="s">
        <v>553</v>
      </c>
      <c r="B16" s="91">
        <v>1000000</v>
      </c>
      <c r="C16" s="358">
        <v>2400000</v>
      </c>
      <c r="D16" s="370"/>
      <c r="E16" s="370">
        <f t="shared" si="5"/>
        <v>2400000</v>
      </c>
      <c r="F16" s="370">
        <v>0</v>
      </c>
      <c r="G16" s="370">
        <f t="shared" si="6"/>
        <v>2400000</v>
      </c>
      <c r="H16" s="370">
        <v>2550000</v>
      </c>
      <c r="I16" s="371">
        <v>2850000</v>
      </c>
    </row>
    <row r="17" spans="1:9" s="18" customFormat="1" x14ac:dyDescent="0.25">
      <c r="A17" s="96" t="s">
        <v>60</v>
      </c>
      <c r="B17" s="91">
        <f>2735631/2</f>
        <v>1367815.5</v>
      </c>
      <c r="C17" s="358">
        <f t="shared" si="2"/>
        <v>1453303.96875</v>
      </c>
      <c r="D17" s="370">
        <f>750621+137168</f>
        <v>887789</v>
      </c>
      <c r="E17" s="370">
        <f t="shared" si="5"/>
        <v>565514.96875</v>
      </c>
      <c r="F17" s="370">
        <v>0</v>
      </c>
      <c r="G17" s="370">
        <f t="shared" si="6"/>
        <v>1453303.96875</v>
      </c>
      <c r="H17" s="370">
        <f>C17*6.25%+C17</f>
        <v>1544135.466796875</v>
      </c>
      <c r="I17" s="371">
        <f t="shared" si="2"/>
        <v>1640643.9334716797</v>
      </c>
    </row>
    <row r="18" spans="1:9" s="18" customFormat="1" x14ac:dyDescent="0.25">
      <c r="A18" s="96" t="s">
        <v>456</v>
      </c>
      <c r="B18" s="91">
        <v>1000000</v>
      </c>
      <c r="C18" s="358">
        <v>1200000</v>
      </c>
      <c r="D18" s="370"/>
      <c r="E18" s="370">
        <f t="shared" si="5"/>
        <v>1200000</v>
      </c>
      <c r="F18" s="370">
        <v>-1200000</v>
      </c>
      <c r="G18" s="370">
        <f t="shared" si="6"/>
        <v>0</v>
      </c>
      <c r="H18" s="370">
        <v>1250000</v>
      </c>
      <c r="I18" s="371">
        <v>1500000</v>
      </c>
    </row>
    <row r="19" spans="1:9" s="18" customFormat="1" hidden="1" x14ac:dyDescent="0.25">
      <c r="A19" s="253" t="s">
        <v>605</v>
      </c>
      <c r="B19" s="254">
        <v>0</v>
      </c>
      <c r="C19" s="358">
        <f t="shared" si="2"/>
        <v>0</v>
      </c>
      <c r="D19" s="370"/>
      <c r="E19" s="370">
        <f t="shared" si="5"/>
        <v>0</v>
      </c>
      <c r="F19" s="370"/>
      <c r="G19" s="370">
        <f t="shared" si="6"/>
        <v>0</v>
      </c>
      <c r="H19" s="370">
        <f>C19*6.25%+C19</f>
        <v>0</v>
      </c>
      <c r="I19" s="371">
        <f t="shared" si="2"/>
        <v>0</v>
      </c>
    </row>
    <row r="20" spans="1:9" s="18" customFormat="1" x14ac:dyDescent="0.25">
      <c r="A20" s="50" t="s">
        <v>134</v>
      </c>
      <c r="B20" s="91">
        <v>100000</v>
      </c>
      <c r="C20" s="358">
        <v>100000</v>
      </c>
      <c r="D20" s="370"/>
      <c r="E20" s="370">
        <f t="shared" si="5"/>
        <v>100000</v>
      </c>
      <c r="F20" s="370">
        <v>0</v>
      </c>
      <c r="G20" s="370">
        <f t="shared" si="6"/>
        <v>100000</v>
      </c>
      <c r="H20" s="370">
        <v>150000</v>
      </c>
      <c r="I20" s="371">
        <v>200000</v>
      </c>
    </row>
    <row r="21" spans="1:9" s="18" customFormat="1" x14ac:dyDescent="0.25">
      <c r="A21" s="747" t="s">
        <v>753</v>
      </c>
      <c r="B21" s="91"/>
      <c r="C21" s="358">
        <v>0</v>
      </c>
      <c r="D21" s="370"/>
      <c r="E21" s="370">
        <f t="shared" si="5"/>
        <v>0</v>
      </c>
      <c r="F21" s="370">
        <v>1000000</v>
      </c>
      <c r="G21" s="370">
        <f t="shared" si="6"/>
        <v>1000000</v>
      </c>
      <c r="H21" s="370">
        <v>0</v>
      </c>
      <c r="I21" s="371">
        <v>0</v>
      </c>
    </row>
    <row r="22" spans="1:9" s="18" customFormat="1" x14ac:dyDescent="0.25">
      <c r="A22" s="343" t="s">
        <v>42</v>
      </c>
      <c r="B22" s="89">
        <f>SUM(B15:B20)</f>
        <v>3553911.5</v>
      </c>
      <c r="C22" s="359">
        <f>SUM(C15:C21)</f>
        <v>5244780.96875</v>
      </c>
      <c r="D22" s="359">
        <f t="shared" ref="D22:I22" si="7">SUM(D15:D21)</f>
        <v>887789</v>
      </c>
      <c r="E22" s="359">
        <f t="shared" si="7"/>
        <v>4356991.96875</v>
      </c>
      <c r="F22" s="359">
        <f t="shared" si="7"/>
        <v>-200000</v>
      </c>
      <c r="G22" s="359">
        <f t="shared" si="7"/>
        <v>5044780.96875</v>
      </c>
      <c r="H22" s="359">
        <f t="shared" si="7"/>
        <v>5591329.779296875</v>
      </c>
      <c r="I22" s="359">
        <f t="shared" si="7"/>
        <v>6293912.8905029297</v>
      </c>
    </row>
    <row r="23" spans="1:9" s="18" customFormat="1" ht="15.75" thickBot="1" x14ac:dyDescent="0.3">
      <c r="A23" s="346"/>
      <c r="B23" s="347"/>
      <c r="C23" s="358"/>
      <c r="D23" s="370"/>
      <c r="E23" s="370"/>
      <c r="F23" s="370"/>
      <c r="G23" s="370"/>
      <c r="H23" s="226"/>
      <c r="I23" s="340"/>
    </row>
    <row r="24" spans="1:9" s="18" customFormat="1" ht="16.5" thickTop="1" thickBot="1" x14ac:dyDescent="0.3">
      <c r="A24" s="344" t="s">
        <v>46</v>
      </c>
      <c r="B24" s="345">
        <f>B10+B22+B13</f>
        <v>17249572.5</v>
      </c>
      <c r="C24" s="360">
        <f>C10+C13+C22</f>
        <v>19796420.78125</v>
      </c>
      <c r="D24" s="360">
        <f>D10+D13+D22</f>
        <v>18901173.15625</v>
      </c>
      <c r="E24" s="360">
        <f>E10+E13+E22</f>
        <v>1274451.384765625</v>
      </c>
      <c r="F24" s="360">
        <f t="shared" ref="F24:G24" si="8">F10+F13+F22</f>
        <v>-200000</v>
      </c>
      <c r="G24" s="360">
        <f t="shared" si="8"/>
        <v>19596420.78125</v>
      </c>
      <c r="H24" s="360">
        <f>H10+H13+H22</f>
        <v>21052447.080078125</v>
      </c>
      <c r="I24" s="381">
        <f>I10+I13+I22</f>
        <v>22721350.022583008</v>
      </c>
    </row>
    <row r="25" spans="1:9" s="18" customFormat="1" x14ac:dyDescent="0.25">
      <c r="B25" s="151"/>
      <c r="C25" s="243"/>
      <c r="D25" s="243"/>
      <c r="E25" s="243"/>
      <c r="F25" s="243"/>
      <c r="G25" s="243"/>
      <c r="H25" s="85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>
    <oddFooter>&amp;A&amp;RPage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8"/>
  <dimension ref="A1:K65"/>
  <sheetViews>
    <sheetView view="pageBreakPreview" zoomScaleNormal="100" zoomScaleSheetLayoutView="100" workbookViewId="0">
      <selection activeCell="F1" sqref="F1"/>
    </sheetView>
  </sheetViews>
  <sheetFormatPr defaultColWidth="9.140625" defaultRowHeight="15" x14ac:dyDescent="0.25"/>
  <cols>
    <col min="1" max="1" width="44.42578125" style="352" customWidth="1"/>
    <col min="2" max="2" width="17.42578125" style="247" hidden="1" customWidth="1"/>
    <col min="3" max="7" width="17.42578125" style="247" customWidth="1"/>
    <col min="8" max="8" width="16.28515625" style="247" customWidth="1"/>
    <col min="9" max="9" width="13.85546875" style="483" customWidth="1"/>
    <col min="10" max="10" width="0" style="483" hidden="1" customWidth="1"/>
    <col min="11" max="11" width="10" style="483" hidden="1" customWidth="1"/>
    <col min="12" max="12" width="9.140625" style="483"/>
    <col min="13" max="13" width="9.140625" style="483" customWidth="1"/>
    <col min="14" max="16384" width="9.140625" style="483"/>
  </cols>
  <sheetData>
    <row r="1" spans="1:9" ht="18.75" x14ac:dyDescent="0.3">
      <c r="A1" s="519" t="s">
        <v>506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ht="30.75" customHeight="1" thickBot="1" x14ac:dyDescent="0.3">
      <c r="A3" s="533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28" t="s">
        <v>644</v>
      </c>
    </row>
    <row r="4" spans="1:9" x14ac:dyDescent="0.25">
      <c r="A4" s="560" t="s">
        <v>227</v>
      </c>
      <c r="B4" s="160">
        <v>-5946434</v>
      </c>
      <c r="C4" s="158">
        <f>B4+(B4*6.25%)</f>
        <v>-6318086.125</v>
      </c>
      <c r="D4" s="158"/>
      <c r="E4" s="158">
        <f>C4-D4</f>
        <v>-6318086.125</v>
      </c>
      <c r="F4" s="630">
        <v>0</v>
      </c>
      <c r="G4" s="158">
        <f>C4+F4</f>
        <v>-6318086.125</v>
      </c>
      <c r="H4" s="158">
        <f>C4+(C4*6.25%)</f>
        <v>-6712966.5078125</v>
      </c>
      <c r="I4" s="386">
        <f>H4+(H4*6.25%)</f>
        <v>-7132526.9145507813</v>
      </c>
    </row>
    <row r="5" spans="1:9" x14ac:dyDescent="0.25">
      <c r="A5" s="560" t="s">
        <v>266</v>
      </c>
      <c r="B5" s="160">
        <v>-100</v>
      </c>
      <c r="C5" s="158">
        <f t="shared" ref="C5:I7" si="0">B5+(B5*6.25%)</f>
        <v>-106.25</v>
      </c>
      <c r="D5" s="158"/>
      <c r="E5" s="158">
        <f t="shared" ref="E5:E7" si="1">C5-D5</f>
        <v>-106.25</v>
      </c>
      <c r="F5" s="630">
        <v>0</v>
      </c>
      <c r="G5" s="158">
        <f t="shared" ref="G5:G7" si="2">C5+F5</f>
        <v>-106.25</v>
      </c>
      <c r="H5" s="158">
        <f>C5+(C5*6.25%)</f>
        <v>-112.890625</v>
      </c>
      <c r="I5" s="386">
        <f t="shared" si="0"/>
        <v>-119.9462890625</v>
      </c>
    </row>
    <row r="6" spans="1:9" x14ac:dyDescent="0.25">
      <c r="A6" s="560" t="s">
        <v>281</v>
      </c>
      <c r="B6" s="160">
        <v>2000</v>
      </c>
      <c r="C6" s="158">
        <f t="shared" si="0"/>
        <v>2125</v>
      </c>
      <c r="D6" s="158"/>
      <c r="E6" s="158">
        <f t="shared" si="1"/>
        <v>2125</v>
      </c>
      <c r="F6" s="630">
        <v>0</v>
      </c>
      <c r="G6" s="158">
        <f t="shared" si="2"/>
        <v>2125</v>
      </c>
      <c r="H6" s="158">
        <f>C6+(C6*6.25%)</f>
        <v>2257.8125</v>
      </c>
      <c r="I6" s="386">
        <f t="shared" si="0"/>
        <v>2398.92578125</v>
      </c>
    </row>
    <row r="7" spans="1:9" x14ac:dyDescent="0.25">
      <c r="A7" s="560" t="s">
        <v>255</v>
      </c>
      <c r="B7" s="160">
        <v>-1193482</v>
      </c>
      <c r="C7" s="158">
        <f t="shared" si="0"/>
        <v>-1268074.625</v>
      </c>
      <c r="D7" s="158"/>
      <c r="E7" s="158">
        <f t="shared" si="1"/>
        <v>-1268074.625</v>
      </c>
      <c r="F7" s="630">
        <v>0</v>
      </c>
      <c r="G7" s="158">
        <f t="shared" si="2"/>
        <v>-1268074.625</v>
      </c>
      <c r="H7" s="158">
        <f>C7+(C7*6.25%)</f>
        <v>-1347329.2890625</v>
      </c>
      <c r="I7" s="386">
        <f t="shared" si="0"/>
        <v>-1431537.3696289063</v>
      </c>
    </row>
    <row r="8" spans="1:9" x14ac:dyDescent="0.25">
      <c r="A8" s="424" t="s">
        <v>182</v>
      </c>
      <c r="B8" s="246">
        <f>SUM(B4:B7)</f>
        <v>-7138016</v>
      </c>
      <c r="C8" s="246">
        <f>SUM(C4:C7)</f>
        <v>-7584142</v>
      </c>
      <c r="D8" s="246">
        <f t="shared" ref="D8:E8" si="3">SUM(D4:D7)</f>
        <v>0</v>
      </c>
      <c r="E8" s="246">
        <f t="shared" si="3"/>
        <v>-7584142</v>
      </c>
      <c r="F8" s="246">
        <f t="shared" ref="F8:G8" si="4">SUM(F4:F7)</f>
        <v>0</v>
      </c>
      <c r="G8" s="246">
        <f t="shared" si="4"/>
        <v>-7584142</v>
      </c>
      <c r="H8" s="246">
        <f>SUM(H4:H7)</f>
        <v>-8058150.875</v>
      </c>
      <c r="I8" s="387">
        <f>SUM(I4:I7)</f>
        <v>-8561785.3046875</v>
      </c>
    </row>
    <row r="9" spans="1:9" hidden="1" x14ac:dyDescent="0.25">
      <c r="A9" s="477"/>
      <c r="B9" s="246"/>
      <c r="C9" s="246"/>
      <c r="D9" s="351"/>
      <c r="E9" s="351"/>
      <c r="F9" s="351"/>
      <c r="G9" s="351"/>
      <c r="H9" s="351"/>
      <c r="I9" s="386"/>
    </row>
    <row r="10" spans="1:9" hidden="1" x14ac:dyDescent="0.25">
      <c r="A10" s="271" t="s">
        <v>279</v>
      </c>
      <c r="B10" s="158"/>
      <c r="C10" s="158">
        <f>B10+(B10*5.4%)</f>
        <v>0</v>
      </c>
      <c r="D10" s="239"/>
      <c r="E10" s="239"/>
      <c r="F10" s="239"/>
      <c r="G10" s="239"/>
      <c r="H10" s="239">
        <f>C10+(C10*5.4%)</f>
        <v>0</v>
      </c>
      <c r="I10" s="386">
        <f>H10+(H10*5.4%)</f>
        <v>0</v>
      </c>
    </row>
    <row r="11" spans="1:9" s="563" customFormat="1" ht="25.5" hidden="1" customHeight="1" x14ac:dyDescent="0.25">
      <c r="A11" s="564"/>
      <c r="B11" s="246">
        <f>SUM(B10)</f>
        <v>0</v>
      </c>
      <c r="C11" s="246">
        <f>SUM(C10)</f>
        <v>0</v>
      </c>
      <c r="D11" s="246"/>
      <c r="E11" s="246"/>
      <c r="F11" s="246"/>
      <c r="G11" s="246"/>
      <c r="H11" s="246">
        <f>SUM(H10)</f>
        <v>0</v>
      </c>
      <c r="I11" s="386">
        <f>H11+(H11*5.4%)</f>
        <v>0</v>
      </c>
    </row>
    <row r="12" spans="1:9" s="563" customFormat="1" ht="18.75" x14ac:dyDescent="0.3">
      <c r="A12" s="561"/>
      <c r="B12" s="567"/>
      <c r="C12" s="562"/>
      <c r="D12" s="568"/>
      <c r="E12" s="568"/>
      <c r="F12" s="568"/>
      <c r="G12" s="568"/>
      <c r="H12" s="568"/>
      <c r="I12" s="386"/>
    </row>
    <row r="13" spans="1:9" s="563" customFormat="1" x14ac:dyDescent="0.25">
      <c r="A13" s="253" t="s">
        <v>2</v>
      </c>
      <c r="B13" s="158">
        <f>3726691-2000000</f>
        <v>1726691</v>
      </c>
      <c r="C13" s="158">
        <f>B13+(B13*6.25%)</f>
        <v>1834609.1875</v>
      </c>
      <c r="D13" s="158"/>
      <c r="E13" s="158">
        <f t="shared" ref="E13:E19" si="5">C13-D13</f>
        <v>1834609.1875</v>
      </c>
      <c r="F13" s="630">
        <v>0</v>
      </c>
      <c r="G13" s="158">
        <f>C13+F13</f>
        <v>1834609.1875</v>
      </c>
      <c r="H13" s="158">
        <f t="shared" ref="H13:H19" si="6">C13+(C13*6.25%)</f>
        <v>1949272.26171875</v>
      </c>
      <c r="I13" s="386">
        <f>H13+(H13*6.25%)</f>
        <v>2071101.7780761719</v>
      </c>
    </row>
    <row r="14" spans="1:9" s="563" customFormat="1" x14ac:dyDescent="0.25">
      <c r="A14" s="253" t="s">
        <v>3</v>
      </c>
      <c r="B14" s="158">
        <v>217673</v>
      </c>
      <c r="C14" s="158">
        <f t="shared" ref="C14:I19" si="7">B14+(B14*6.25%)</f>
        <v>231277.5625</v>
      </c>
      <c r="D14" s="158"/>
      <c r="E14" s="158">
        <f t="shared" si="5"/>
        <v>231277.5625</v>
      </c>
      <c r="F14" s="630">
        <v>0</v>
      </c>
      <c r="G14" s="158">
        <f t="shared" ref="G14:G19" si="8">C14+F14</f>
        <v>231277.5625</v>
      </c>
      <c r="H14" s="158">
        <f t="shared" si="6"/>
        <v>245732.41015625</v>
      </c>
      <c r="I14" s="386">
        <f t="shared" si="7"/>
        <v>261090.68579101563</v>
      </c>
    </row>
    <row r="15" spans="1:9" s="563" customFormat="1" x14ac:dyDescent="0.25">
      <c r="A15" s="253" t="s">
        <v>17</v>
      </c>
      <c r="B15" s="158">
        <f>1048342-1000000</f>
        <v>48342</v>
      </c>
      <c r="C15" s="158">
        <f t="shared" si="7"/>
        <v>51363.375</v>
      </c>
      <c r="D15" s="158"/>
      <c r="E15" s="158">
        <f t="shared" si="5"/>
        <v>51363.375</v>
      </c>
      <c r="F15" s="630">
        <v>0</v>
      </c>
      <c r="G15" s="158">
        <f t="shared" si="8"/>
        <v>51363.375</v>
      </c>
      <c r="H15" s="158">
        <f t="shared" si="6"/>
        <v>54573.5859375</v>
      </c>
      <c r="I15" s="386">
        <f t="shared" si="7"/>
        <v>57984.43505859375</v>
      </c>
    </row>
    <row r="16" spans="1:9" s="563" customFormat="1" x14ac:dyDescent="0.25">
      <c r="A16" s="253" t="s">
        <v>172</v>
      </c>
      <c r="B16" s="158">
        <v>231882</v>
      </c>
      <c r="C16" s="158">
        <f t="shared" si="7"/>
        <v>246374.625</v>
      </c>
      <c r="D16" s="158"/>
      <c r="E16" s="158">
        <f t="shared" si="5"/>
        <v>246374.625</v>
      </c>
      <c r="F16" s="630">
        <v>0</v>
      </c>
      <c r="G16" s="158">
        <f t="shared" si="8"/>
        <v>246374.625</v>
      </c>
      <c r="H16" s="158">
        <f t="shared" si="6"/>
        <v>261773.0390625</v>
      </c>
      <c r="I16" s="386">
        <f t="shared" si="7"/>
        <v>278133.85400390625</v>
      </c>
    </row>
    <row r="17" spans="1:9" s="563" customFormat="1" x14ac:dyDescent="0.25">
      <c r="A17" s="253" t="s">
        <v>85</v>
      </c>
      <c r="B17" s="158">
        <v>146000</v>
      </c>
      <c r="C17" s="158">
        <f t="shared" si="7"/>
        <v>155125</v>
      </c>
      <c r="D17" s="158"/>
      <c r="E17" s="158">
        <f t="shared" si="5"/>
        <v>155125</v>
      </c>
      <c r="F17" s="630">
        <v>0</v>
      </c>
      <c r="G17" s="158">
        <f t="shared" si="8"/>
        <v>155125</v>
      </c>
      <c r="H17" s="158">
        <f t="shared" si="6"/>
        <v>164820.3125</v>
      </c>
      <c r="I17" s="386">
        <f t="shared" si="7"/>
        <v>175121.58203125</v>
      </c>
    </row>
    <row r="18" spans="1:9" s="563" customFormat="1" x14ac:dyDescent="0.25">
      <c r="A18" s="253" t="s">
        <v>4</v>
      </c>
      <c r="B18" s="158">
        <v>125627</v>
      </c>
      <c r="C18" s="158">
        <f t="shared" si="7"/>
        <v>133478.6875</v>
      </c>
      <c r="D18" s="158"/>
      <c r="E18" s="158">
        <f t="shared" si="5"/>
        <v>133478.6875</v>
      </c>
      <c r="F18" s="630">
        <v>0</v>
      </c>
      <c r="G18" s="158">
        <f t="shared" si="8"/>
        <v>133478.6875</v>
      </c>
      <c r="H18" s="158">
        <f t="shared" si="6"/>
        <v>141821.10546875</v>
      </c>
      <c r="I18" s="386">
        <f t="shared" si="7"/>
        <v>150684.92456054688</v>
      </c>
    </row>
    <row r="19" spans="1:9" s="563" customFormat="1" x14ac:dyDescent="0.25">
      <c r="A19" s="253" t="s">
        <v>173</v>
      </c>
      <c r="B19" s="158">
        <v>323232</v>
      </c>
      <c r="C19" s="158">
        <f t="shared" si="7"/>
        <v>343434</v>
      </c>
      <c r="D19" s="158"/>
      <c r="E19" s="158">
        <f t="shared" si="5"/>
        <v>343434</v>
      </c>
      <c r="F19" s="630">
        <v>0</v>
      </c>
      <c r="G19" s="158">
        <f t="shared" si="8"/>
        <v>343434</v>
      </c>
      <c r="H19" s="158">
        <f t="shared" si="6"/>
        <v>364898.625</v>
      </c>
      <c r="I19" s="386">
        <f t="shared" si="7"/>
        <v>387704.7890625</v>
      </c>
    </row>
    <row r="20" spans="1:9" s="563" customFormat="1" x14ac:dyDescent="0.25">
      <c r="A20" s="424" t="s">
        <v>40</v>
      </c>
      <c r="B20" s="246">
        <f>SUM(B13:B19)</f>
        <v>2819447</v>
      </c>
      <c r="C20" s="246">
        <f>SUM(C13:C19)</f>
        <v>2995662.4375</v>
      </c>
      <c r="D20" s="246">
        <f t="shared" ref="D20:E20" si="9">SUM(D13:D19)</f>
        <v>0</v>
      </c>
      <c r="E20" s="246">
        <f t="shared" si="9"/>
        <v>2995662.4375</v>
      </c>
      <c r="F20" s="246">
        <f t="shared" ref="F20:G20" si="10">SUM(F13:F19)</f>
        <v>0</v>
      </c>
      <c r="G20" s="246">
        <f t="shared" si="10"/>
        <v>2995662.4375</v>
      </c>
      <c r="H20" s="246">
        <f>SUM(H13:H19)</f>
        <v>3182891.33984375</v>
      </c>
      <c r="I20" s="387">
        <f>SUM(I13:I19)</f>
        <v>3381822.0485839844</v>
      </c>
    </row>
    <row r="21" spans="1:9" s="563" customFormat="1" x14ac:dyDescent="0.25">
      <c r="A21" s="253"/>
      <c r="B21" s="246"/>
      <c r="C21" s="158"/>
      <c r="D21" s="239"/>
      <c r="E21" s="239"/>
      <c r="F21" s="239"/>
      <c r="G21" s="239"/>
      <c r="H21" s="239"/>
      <c r="I21" s="386"/>
    </row>
    <row r="22" spans="1:9" s="563" customFormat="1" x14ac:dyDescent="0.25">
      <c r="A22" s="253" t="s">
        <v>6</v>
      </c>
      <c r="B22" s="158">
        <v>203840</v>
      </c>
      <c r="C22" s="158">
        <f>B22+(B22*6.25%)</f>
        <v>216580</v>
      </c>
      <c r="D22" s="158"/>
      <c r="E22" s="158">
        <f t="shared" ref="E22:E26" si="11">C22-D22</f>
        <v>216580</v>
      </c>
      <c r="F22" s="630">
        <v>0</v>
      </c>
      <c r="G22" s="158">
        <f t="shared" ref="G22:G26" si="12">C22+F22</f>
        <v>216580</v>
      </c>
      <c r="H22" s="158">
        <f>C22+(C22*6.25%)</f>
        <v>230116.25</v>
      </c>
      <c r="I22" s="386">
        <f>H22+(H22*6.25%)</f>
        <v>244498.515625</v>
      </c>
    </row>
    <row r="23" spans="1:9" s="563" customFormat="1" x14ac:dyDescent="0.25">
      <c r="A23" s="253" t="s">
        <v>7</v>
      </c>
      <c r="B23" s="158">
        <v>27252</v>
      </c>
      <c r="C23" s="158">
        <f t="shared" ref="C23:C26" si="13">B23+(B23*6.25%)</f>
        <v>28955.25</v>
      </c>
      <c r="D23" s="158"/>
      <c r="E23" s="158">
        <f t="shared" si="11"/>
        <v>28955.25</v>
      </c>
      <c r="F23" s="630">
        <v>0</v>
      </c>
      <c r="G23" s="158">
        <f t="shared" si="12"/>
        <v>28955.25</v>
      </c>
      <c r="H23" s="158">
        <f>C23+(C23*6.25%)</f>
        <v>30764.953125</v>
      </c>
      <c r="I23" s="386">
        <f t="shared" ref="I23:I26" si="14">H23+(H23*5.4%)</f>
        <v>32426.260593750001</v>
      </c>
    </row>
    <row r="24" spans="1:9" s="563" customFormat="1" x14ac:dyDescent="0.25">
      <c r="A24" s="253" t="s">
        <v>53</v>
      </c>
      <c r="B24" s="158">
        <f>589533-500000</f>
        <v>89533</v>
      </c>
      <c r="C24" s="158">
        <f t="shared" si="13"/>
        <v>95128.8125</v>
      </c>
      <c r="D24" s="158"/>
      <c r="E24" s="158">
        <f t="shared" si="11"/>
        <v>95128.8125</v>
      </c>
      <c r="F24" s="630">
        <v>0</v>
      </c>
      <c r="G24" s="158">
        <f t="shared" si="12"/>
        <v>95128.8125</v>
      </c>
      <c r="H24" s="158">
        <f>C24+(C24*6.25%)</f>
        <v>101074.36328125</v>
      </c>
      <c r="I24" s="386">
        <f t="shared" si="14"/>
        <v>106532.3788984375</v>
      </c>
    </row>
    <row r="25" spans="1:9" s="563" customFormat="1" x14ac:dyDescent="0.25">
      <c r="A25" s="253" t="s">
        <v>174</v>
      </c>
      <c r="B25" s="158">
        <v>1306</v>
      </c>
      <c r="C25" s="158">
        <f t="shared" si="13"/>
        <v>1387.625</v>
      </c>
      <c r="D25" s="158"/>
      <c r="E25" s="158">
        <f t="shared" si="11"/>
        <v>1387.625</v>
      </c>
      <c r="F25" s="630">
        <v>0</v>
      </c>
      <c r="G25" s="158">
        <f t="shared" si="12"/>
        <v>1387.625</v>
      </c>
      <c r="H25" s="158">
        <f>C25+(C25*6.25%)</f>
        <v>1474.3515625</v>
      </c>
      <c r="I25" s="386">
        <f t="shared" si="14"/>
        <v>1553.9665468749999</v>
      </c>
    </row>
    <row r="26" spans="1:9" s="563" customFormat="1" x14ac:dyDescent="0.25">
      <c r="A26" s="253" t="s">
        <v>175</v>
      </c>
      <c r="B26" s="158">
        <v>42491</v>
      </c>
      <c r="C26" s="158">
        <f t="shared" si="13"/>
        <v>45146.6875</v>
      </c>
      <c r="D26" s="158"/>
      <c r="E26" s="158">
        <f t="shared" si="11"/>
        <v>45146.6875</v>
      </c>
      <c r="F26" s="630">
        <v>0</v>
      </c>
      <c r="G26" s="158">
        <f t="shared" si="12"/>
        <v>45146.6875</v>
      </c>
      <c r="H26" s="158">
        <f>C26+(C26*6.25%)</f>
        <v>47968.35546875</v>
      </c>
      <c r="I26" s="386">
        <f t="shared" si="14"/>
        <v>50558.6466640625</v>
      </c>
    </row>
    <row r="27" spans="1:9" s="563" customFormat="1" x14ac:dyDescent="0.25">
      <c r="A27" s="253"/>
      <c r="B27" s="158">
        <v>25065</v>
      </c>
      <c r="C27" s="158"/>
      <c r="D27" s="158"/>
      <c r="E27" s="158"/>
      <c r="F27" s="158"/>
      <c r="G27" s="158"/>
      <c r="H27" s="158"/>
      <c r="I27" s="386"/>
    </row>
    <row r="28" spans="1:9" s="563" customFormat="1" hidden="1" x14ac:dyDescent="0.25">
      <c r="A28" s="253"/>
      <c r="B28" s="158"/>
      <c r="C28" s="158"/>
      <c r="D28" s="158"/>
      <c r="E28" s="158"/>
      <c r="F28" s="158"/>
      <c r="G28" s="158"/>
      <c r="H28" s="158"/>
      <c r="I28" s="386"/>
    </row>
    <row r="29" spans="1:9" s="563" customFormat="1" x14ac:dyDescent="0.25">
      <c r="A29" s="424" t="s">
        <v>41</v>
      </c>
      <c r="B29" s="246">
        <f>SUM(B22:B28)</f>
        <v>389487</v>
      </c>
      <c r="C29" s="246">
        <f>SUM(C22:C27)</f>
        <v>387198.375</v>
      </c>
      <c r="D29" s="246">
        <f t="shared" ref="D29:E29" si="15">SUM(D22:D27)</f>
        <v>0</v>
      </c>
      <c r="E29" s="246">
        <f t="shared" si="15"/>
        <v>387198.375</v>
      </c>
      <c r="F29" s="246">
        <f t="shared" ref="F29:G29" si="16">SUM(F22:F27)</f>
        <v>0</v>
      </c>
      <c r="G29" s="246">
        <f t="shared" si="16"/>
        <v>387198.375</v>
      </c>
      <c r="H29" s="246">
        <f>SUM(H22:H27)</f>
        <v>411398.2734375</v>
      </c>
      <c r="I29" s="246">
        <f>SUM(I22:I27)</f>
        <v>435569.76832812501</v>
      </c>
    </row>
    <row r="30" spans="1:9" s="563" customFormat="1" x14ac:dyDescent="0.25">
      <c r="A30" s="477"/>
      <c r="B30" s="246"/>
      <c r="C30" s="246"/>
      <c r="D30" s="246"/>
      <c r="E30" s="246"/>
      <c r="F30" s="246"/>
      <c r="G30" s="246"/>
      <c r="H30" s="246"/>
      <c r="I30" s="246"/>
    </row>
    <row r="31" spans="1:9" s="563" customFormat="1" x14ac:dyDescent="0.25">
      <c r="A31" s="477"/>
      <c r="B31" s="246"/>
      <c r="C31" s="246"/>
      <c r="D31" s="351"/>
      <c r="E31" s="351"/>
      <c r="F31" s="351"/>
      <c r="G31" s="351"/>
      <c r="H31" s="351"/>
      <c r="I31" s="386"/>
    </row>
    <row r="32" spans="1:9" s="563" customFormat="1" x14ac:dyDescent="0.25">
      <c r="A32" s="253" t="s">
        <v>244</v>
      </c>
      <c r="B32" s="160">
        <v>1500000</v>
      </c>
      <c r="C32" s="158">
        <f>B32+(B32*6.25%)</f>
        <v>1593750</v>
      </c>
      <c r="D32" s="158"/>
      <c r="E32" s="158">
        <f t="shared" ref="E32" si="17">C32-D32</f>
        <v>1593750</v>
      </c>
      <c r="F32" s="630">
        <v>0</v>
      </c>
      <c r="G32" s="158">
        <f t="shared" ref="G32" si="18">C32+F32</f>
        <v>1593750</v>
      </c>
      <c r="H32" s="158">
        <f>C32+(C32*6.25%)</f>
        <v>1693359.375</v>
      </c>
      <c r="I32" s="386">
        <f>H32+(H32*6.25%)</f>
        <v>1799194.3359375</v>
      </c>
    </row>
    <row r="33" spans="1:11" s="563" customFormat="1" x14ac:dyDescent="0.25">
      <c r="A33" s="424" t="s">
        <v>244</v>
      </c>
      <c r="B33" s="246">
        <f>SUM(B32)</f>
        <v>1500000</v>
      </c>
      <c r="C33" s="246">
        <f>SUM(C32)</f>
        <v>1593750</v>
      </c>
      <c r="D33" s="246">
        <f t="shared" ref="D33:E33" si="19">SUM(D32)</f>
        <v>0</v>
      </c>
      <c r="E33" s="246">
        <f t="shared" si="19"/>
        <v>1593750</v>
      </c>
      <c r="F33" s="246">
        <f t="shared" ref="F33:G33" si="20">SUM(F32)</f>
        <v>0</v>
      </c>
      <c r="G33" s="246">
        <f t="shared" si="20"/>
        <v>1593750</v>
      </c>
      <c r="H33" s="246">
        <f>SUM(H32)</f>
        <v>1693359.375</v>
      </c>
      <c r="I33" s="387">
        <f>SUM(I32)</f>
        <v>1799194.3359375</v>
      </c>
    </row>
    <row r="34" spans="1:11" s="563" customFormat="1" x14ac:dyDescent="0.25">
      <c r="A34" s="253"/>
      <c r="B34" s="246"/>
      <c r="C34" s="158"/>
      <c r="D34" s="239"/>
      <c r="E34" s="239"/>
      <c r="F34" s="239"/>
      <c r="G34" s="239"/>
      <c r="H34" s="239"/>
      <c r="I34" s="386"/>
    </row>
    <row r="35" spans="1:11" s="563" customFormat="1" x14ac:dyDescent="0.25">
      <c r="A35" s="253" t="s">
        <v>198</v>
      </c>
      <c r="B35" s="158">
        <v>643214</v>
      </c>
      <c r="C35" s="158">
        <f>B35+(B35*6.25%)</f>
        <v>683414.875</v>
      </c>
      <c r="D35" s="158"/>
      <c r="E35" s="158">
        <f t="shared" ref="E35:E40" si="21">C35-D35</f>
        <v>683414.875</v>
      </c>
      <c r="F35" s="630">
        <v>0</v>
      </c>
      <c r="G35" s="158">
        <f t="shared" ref="G35:G40" si="22">C35+F35</f>
        <v>683414.875</v>
      </c>
      <c r="H35" s="158">
        <f t="shared" ref="H35:H40" si="23">C35+(C35*6.25%)</f>
        <v>726128.3046875</v>
      </c>
      <c r="I35" s="386">
        <f>H35+(H35*6.25%)</f>
        <v>771511.32373046875</v>
      </c>
    </row>
    <row r="36" spans="1:11" s="563" customFormat="1" x14ac:dyDescent="0.25">
      <c r="A36" s="253" t="s">
        <v>218</v>
      </c>
      <c r="B36" s="158">
        <f>659577-500000</f>
        <v>159577</v>
      </c>
      <c r="C36" s="158">
        <f t="shared" ref="C36:I40" si="24">B36+(B36*6.25%)</f>
        <v>169550.5625</v>
      </c>
      <c r="D36" s="158"/>
      <c r="E36" s="158">
        <f t="shared" si="21"/>
        <v>169550.5625</v>
      </c>
      <c r="F36" s="630">
        <v>0</v>
      </c>
      <c r="G36" s="158">
        <f t="shared" si="22"/>
        <v>169550.5625</v>
      </c>
      <c r="H36" s="158">
        <f t="shared" si="23"/>
        <v>180147.47265625</v>
      </c>
      <c r="I36" s="386">
        <f t="shared" si="24"/>
        <v>191406.68969726563</v>
      </c>
    </row>
    <row r="37" spans="1:11" s="563" customFormat="1" x14ac:dyDescent="0.25">
      <c r="A37" s="253" t="s">
        <v>197</v>
      </c>
      <c r="B37" s="158">
        <v>47323</v>
      </c>
      <c r="C37" s="158">
        <f t="shared" si="24"/>
        <v>50280.6875</v>
      </c>
      <c r="D37" s="158"/>
      <c r="E37" s="158">
        <f t="shared" si="21"/>
        <v>50280.6875</v>
      </c>
      <c r="F37" s="630">
        <v>0</v>
      </c>
      <c r="G37" s="158">
        <f t="shared" si="22"/>
        <v>50280.6875</v>
      </c>
      <c r="H37" s="158">
        <f t="shared" si="23"/>
        <v>53423.23046875</v>
      </c>
      <c r="I37" s="386">
        <f t="shared" si="24"/>
        <v>56762.182373046875</v>
      </c>
    </row>
    <row r="38" spans="1:11" s="563" customFormat="1" x14ac:dyDescent="0.25">
      <c r="A38" s="253" t="s">
        <v>176</v>
      </c>
      <c r="B38" s="158">
        <f>1678000-1000000</f>
        <v>678000</v>
      </c>
      <c r="C38" s="158">
        <f t="shared" si="24"/>
        <v>720375</v>
      </c>
      <c r="D38" s="158"/>
      <c r="E38" s="158">
        <f t="shared" si="21"/>
        <v>720375</v>
      </c>
      <c r="F38" s="630">
        <v>0</v>
      </c>
      <c r="G38" s="158">
        <f t="shared" si="22"/>
        <v>720375</v>
      </c>
      <c r="H38" s="158">
        <f t="shared" si="23"/>
        <v>765398.4375</v>
      </c>
      <c r="I38" s="386">
        <f t="shared" si="24"/>
        <v>813235.83984375</v>
      </c>
    </row>
    <row r="39" spans="1:11" s="563" customFormat="1" x14ac:dyDescent="0.25">
      <c r="A39" s="253" t="s">
        <v>217</v>
      </c>
      <c r="B39" s="158">
        <v>2366</v>
      </c>
      <c r="C39" s="158">
        <f t="shared" si="24"/>
        <v>2513.875</v>
      </c>
      <c r="D39" s="158"/>
      <c r="E39" s="158">
        <f t="shared" si="21"/>
        <v>2513.875</v>
      </c>
      <c r="F39" s="630">
        <v>0</v>
      </c>
      <c r="G39" s="158">
        <f t="shared" si="22"/>
        <v>2513.875</v>
      </c>
      <c r="H39" s="158">
        <f t="shared" si="23"/>
        <v>2670.9921875</v>
      </c>
      <c r="I39" s="386">
        <f t="shared" si="24"/>
        <v>2837.92919921875</v>
      </c>
    </row>
    <row r="40" spans="1:11" s="563" customFormat="1" x14ac:dyDescent="0.25">
      <c r="A40" s="253" t="s">
        <v>20</v>
      </c>
      <c r="B40" s="158">
        <v>953168</v>
      </c>
      <c r="C40" s="158">
        <f t="shared" si="24"/>
        <v>1012741</v>
      </c>
      <c r="D40" s="158"/>
      <c r="E40" s="158">
        <f t="shared" si="21"/>
        <v>1012741</v>
      </c>
      <c r="F40" s="630">
        <v>0</v>
      </c>
      <c r="G40" s="158">
        <f t="shared" si="22"/>
        <v>1012741</v>
      </c>
      <c r="H40" s="158">
        <f t="shared" si="23"/>
        <v>1076037.3125</v>
      </c>
      <c r="I40" s="386">
        <f t="shared" si="24"/>
        <v>1143289.64453125</v>
      </c>
    </row>
    <row r="41" spans="1:11" s="563" customFormat="1" x14ac:dyDescent="0.25">
      <c r="A41" s="424" t="s">
        <v>43</v>
      </c>
      <c r="B41" s="246">
        <f>SUM(B35:B40)</f>
        <v>2483648</v>
      </c>
      <c r="C41" s="246">
        <f>SUM(C35:C40)</f>
        <v>2638876</v>
      </c>
      <c r="D41" s="246">
        <f t="shared" ref="D41:E41" si="25">SUM(D35:D40)</f>
        <v>0</v>
      </c>
      <c r="E41" s="246">
        <f t="shared" si="25"/>
        <v>2638876</v>
      </c>
      <c r="F41" s="246">
        <f t="shared" ref="F41:G41" si="26">SUM(F35:F40)</f>
        <v>0</v>
      </c>
      <c r="G41" s="246">
        <f t="shared" si="26"/>
        <v>2638876</v>
      </c>
      <c r="H41" s="246">
        <f>SUM(H35:H40)</f>
        <v>2803805.75</v>
      </c>
      <c r="I41" s="387">
        <f>SUM(I35:I40)</f>
        <v>2979043.609375</v>
      </c>
      <c r="K41" s="577">
        <f>SUM(C41,C60)</f>
        <v>3199184.84375</v>
      </c>
    </row>
    <row r="42" spans="1:11" s="563" customFormat="1" x14ac:dyDescent="0.25">
      <c r="A42" s="477"/>
      <c r="B42" s="246"/>
      <c r="C42" s="246"/>
      <c r="D42" s="351"/>
      <c r="E42" s="351"/>
      <c r="F42" s="351"/>
      <c r="G42" s="351"/>
      <c r="H42" s="351"/>
      <c r="I42" s="387"/>
    </row>
    <row r="43" spans="1:11" s="563" customFormat="1" x14ac:dyDescent="0.25">
      <c r="A43" s="253" t="s">
        <v>359</v>
      </c>
      <c r="B43" s="246"/>
      <c r="C43" s="158">
        <v>26631.5625</v>
      </c>
      <c r="D43" s="239"/>
      <c r="E43" s="158">
        <f t="shared" ref="E43:E59" si="27">C43-D43</f>
        <v>26631.5625</v>
      </c>
      <c r="F43" s="351">
        <v>0</v>
      </c>
      <c r="G43" s="158">
        <f t="shared" ref="G43:G59" si="28">C43+F43</f>
        <v>26631.5625</v>
      </c>
      <c r="H43" s="351">
        <v>28296.03515625</v>
      </c>
      <c r="I43" s="387">
        <v>29824.021054687499</v>
      </c>
    </row>
    <row r="44" spans="1:11" s="563" customFormat="1" x14ac:dyDescent="0.25">
      <c r="A44" s="253" t="s">
        <v>196</v>
      </c>
      <c r="B44" s="158">
        <v>55160</v>
      </c>
      <c r="C44" s="158">
        <f>B44+(B44*6.25%)</f>
        <v>58607.5</v>
      </c>
      <c r="D44" s="158"/>
      <c r="E44" s="158">
        <f t="shared" si="27"/>
        <v>58607.5</v>
      </c>
      <c r="F44" s="158">
        <v>0</v>
      </c>
      <c r="G44" s="158">
        <f t="shared" si="28"/>
        <v>58607.5</v>
      </c>
      <c r="H44" s="158">
        <f t="shared" ref="H44:H59" si="29">C44+(C44*6.25%)</f>
        <v>62270.46875</v>
      </c>
      <c r="I44" s="386">
        <f>H44+(H44*5.4%)</f>
        <v>65633.074062500003</v>
      </c>
    </row>
    <row r="45" spans="1:11" s="563" customFormat="1" x14ac:dyDescent="0.25">
      <c r="A45" s="253" t="s">
        <v>80</v>
      </c>
      <c r="B45" s="158">
        <v>50000</v>
      </c>
      <c r="C45" s="158">
        <f>B45+(B45*6.25%)</f>
        <v>53125</v>
      </c>
      <c r="D45" s="158"/>
      <c r="E45" s="158">
        <f t="shared" si="27"/>
        <v>53125</v>
      </c>
      <c r="F45" s="158">
        <v>0</v>
      </c>
      <c r="G45" s="158">
        <f t="shared" si="28"/>
        <v>53125</v>
      </c>
      <c r="H45" s="158">
        <f t="shared" si="29"/>
        <v>56445.3125</v>
      </c>
      <c r="I45" s="386">
        <f>H45+(H45*6.25%)</f>
        <v>59973.14453125</v>
      </c>
    </row>
    <row r="46" spans="1:11" s="563" customFormat="1" ht="14.25" customHeight="1" x14ac:dyDescent="0.25">
      <c r="A46" s="253" t="s">
        <v>267</v>
      </c>
      <c r="B46" s="158">
        <v>5324</v>
      </c>
      <c r="C46" s="158">
        <f t="shared" ref="C46:I59" si="30">B46+(B46*6.25%)</f>
        <v>5656.75</v>
      </c>
      <c r="D46" s="158"/>
      <c r="E46" s="158">
        <f t="shared" si="27"/>
        <v>5656.75</v>
      </c>
      <c r="F46" s="158"/>
      <c r="G46" s="158">
        <f t="shared" si="28"/>
        <v>5656.75</v>
      </c>
      <c r="H46" s="158">
        <f t="shared" si="29"/>
        <v>6010.296875</v>
      </c>
      <c r="I46" s="386">
        <f t="shared" si="30"/>
        <v>6385.9404296875</v>
      </c>
    </row>
    <row r="47" spans="1:11" s="563" customFormat="1" x14ac:dyDescent="0.25">
      <c r="A47" s="253" t="s">
        <v>24</v>
      </c>
      <c r="B47" s="158">
        <v>4496</v>
      </c>
      <c r="C47" s="158">
        <f t="shared" si="30"/>
        <v>4777</v>
      </c>
      <c r="D47" s="158"/>
      <c r="E47" s="158">
        <f t="shared" si="27"/>
        <v>4777</v>
      </c>
      <c r="F47" s="158">
        <v>0</v>
      </c>
      <c r="G47" s="158">
        <f t="shared" si="28"/>
        <v>4777</v>
      </c>
      <c r="H47" s="158">
        <f t="shared" si="29"/>
        <v>5075.5625</v>
      </c>
      <c r="I47" s="386">
        <f t="shared" si="30"/>
        <v>5392.78515625</v>
      </c>
    </row>
    <row r="48" spans="1:11" s="563" customFormat="1" x14ac:dyDescent="0.25">
      <c r="A48" s="253" t="s">
        <v>25</v>
      </c>
      <c r="B48" s="158">
        <v>15675</v>
      </c>
      <c r="C48" s="158">
        <f t="shared" si="30"/>
        <v>16654.6875</v>
      </c>
      <c r="D48" s="158"/>
      <c r="E48" s="158">
        <f t="shared" si="27"/>
        <v>16654.6875</v>
      </c>
      <c r="F48" s="158">
        <v>0</v>
      </c>
      <c r="G48" s="158">
        <f t="shared" si="28"/>
        <v>16654.6875</v>
      </c>
      <c r="H48" s="158">
        <f t="shared" si="29"/>
        <v>17695.60546875</v>
      </c>
      <c r="I48" s="386">
        <f t="shared" si="30"/>
        <v>18801.580810546875</v>
      </c>
    </row>
    <row r="49" spans="1:9" s="563" customFormat="1" x14ac:dyDescent="0.25">
      <c r="A49" s="271" t="s">
        <v>57</v>
      </c>
      <c r="B49" s="158">
        <v>4141</v>
      </c>
      <c r="C49" s="158">
        <f t="shared" si="30"/>
        <v>4399.8125</v>
      </c>
      <c r="D49" s="158"/>
      <c r="E49" s="158">
        <f t="shared" si="27"/>
        <v>4399.8125</v>
      </c>
      <c r="F49" s="158">
        <v>0</v>
      </c>
      <c r="G49" s="158">
        <f t="shared" si="28"/>
        <v>4399.8125</v>
      </c>
      <c r="H49" s="158">
        <f t="shared" si="29"/>
        <v>4674.80078125</v>
      </c>
      <c r="I49" s="386">
        <f t="shared" si="30"/>
        <v>4966.975830078125</v>
      </c>
    </row>
    <row r="50" spans="1:9" s="563" customFormat="1" x14ac:dyDescent="0.25">
      <c r="A50" s="271" t="s">
        <v>190</v>
      </c>
      <c r="B50" s="158">
        <f>9465/2</f>
        <v>4732.5</v>
      </c>
      <c r="C50" s="158">
        <f t="shared" si="30"/>
        <v>5028.28125</v>
      </c>
      <c r="D50" s="158"/>
      <c r="E50" s="158">
        <f t="shared" si="27"/>
        <v>5028.28125</v>
      </c>
      <c r="F50" s="158">
        <v>0</v>
      </c>
      <c r="G50" s="158">
        <f t="shared" si="28"/>
        <v>5028.28125</v>
      </c>
      <c r="H50" s="158">
        <f t="shared" si="29"/>
        <v>5342.548828125</v>
      </c>
      <c r="I50" s="386">
        <f t="shared" si="30"/>
        <v>5676.4581298828125</v>
      </c>
    </row>
    <row r="51" spans="1:9" s="563" customFormat="1" x14ac:dyDescent="0.25">
      <c r="A51" s="271" t="s">
        <v>10</v>
      </c>
      <c r="B51" s="158">
        <v>39741</v>
      </c>
      <c r="C51" s="158">
        <f t="shared" si="30"/>
        <v>42224.8125</v>
      </c>
      <c r="D51" s="158"/>
      <c r="E51" s="158">
        <f t="shared" si="27"/>
        <v>42224.8125</v>
      </c>
      <c r="F51" s="630">
        <v>0</v>
      </c>
      <c r="G51" s="158">
        <f t="shared" si="28"/>
        <v>42224.8125</v>
      </c>
      <c r="H51" s="158">
        <f t="shared" si="29"/>
        <v>44863.86328125</v>
      </c>
      <c r="I51" s="386">
        <f t="shared" si="30"/>
        <v>47667.854736328125</v>
      </c>
    </row>
    <row r="52" spans="1:9" s="563" customFormat="1" x14ac:dyDescent="0.25">
      <c r="A52" s="271" t="s">
        <v>203</v>
      </c>
      <c r="B52" s="158">
        <v>1183</v>
      </c>
      <c r="C52" s="158">
        <f t="shared" si="30"/>
        <v>1256.9375</v>
      </c>
      <c r="D52" s="158"/>
      <c r="E52" s="158">
        <f t="shared" si="27"/>
        <v>1256.9375</v>
      </c>
      <c r="F52" s="630">
        <v>0</v>
      </c>
      <c r="G52" s="158">
        <f t="shared" si="28"/>
        <v>1256.9375</v>
      </c>
      <c r="H52" s="158">
        <f t="shared" si="29"/>
        <v>1335.49609375</v>
      </c>
      <c r="I52" s="386">
        <f t="shared" si="30"/>
        <v>1418.964599609375</v>
      </c>
    </row>
    <row r="53" spans="1:9" s="563" customFormat="1" x14ac:dyDescent="0.25">
      <c r="A53" s="271" t="s">
        <v>204</v>
      </c>
      <c r="B53" s="158">
        <v>50000</v>
      </c>
      <c r="C53" s="158">
        <f t="shared" si="30"/>
        <v>53125</v>
      </c>
      <c r="D53" s="158"/>
      <c r="E53" s="158">
        <f t="shared" si="27"/>
        <v>53125</v>
      </c>
      <c r="F53" s="630">
        <v>0</v>
      </c>
      <c r="G53" s="158">
        <f t="shared" si="28"/>
        <v>53125</v>
      </c>
      <c r="H53" s="158">
        <f t="shared" si="29"/>
        <v>56445.3125</v>
      </c>
      <c r="I53" s="386">
        <f t="shared" si="30"/>
        <v>59973.14453125</v>
      </c>
    </row>
    <row r="54" spans="1:9" s="563" customFormat="1" x14ac:dyDescent="0.25">
      <c r="A54" s="271" t="s">
        <v>206</v>
      </c>
      <c r="B54" s="158">
        <v>57185</v>
      </c>
      <c r="C54" s="158">
        <f t="shared" si="30"/>
        <v>60759.0625</v>
      </c>
      <c r="D54" s="158"/>
      <c r="E54" s="158">
        <f t="shared" si="27"/>
        <v>60759.0625</v>
      </c>
      <c r="F54" s="630">
        <v>0</v>
      </c>
      <c r="G54" s="158">
        <f t="shared" si="28"/>
        <v>60759.0625</v>
      </c>
      <c r="H54" s="158">
        <f t="shared" si="29"/>
        <v>64556.50390625</v>
      </c>
      <c r="I54" s="386">
        <f t="shared" si="30"/>
        <v>68591.285400390625</v>
      </c>
    </row>
    <row r="55" spans="1:9" s="563" customFormat="1" x14ac:dyDescent="0.25">
      <c r="A55" s="271" t="s">
        <v>207</v>
      </c>
      <c r="B55" s="158">
        <v>150000</v>
      </c>
      <c r="C55" s="158">
        <f t="shared" si="30"/>
        <v>159375</v>
      </c>
      <c r="D55" s="158"/>
      <c r="E55" s="158">
        <f t="shared" si="27"/>
        <v>159375</v>
      </c>
      <c r="F55" s="630">
        <v>0</v>
      </c>
      <c r="G55" s="158">
        <f t="shared" si="28"/>
        <v>159375</v>
      </c>
      <c r="H55" s="158">
        <f t="shared" si="29"/>
        <v>169335.9375</v>
      </c>
      <c r="I55" s="386">
        <f t="shared" si="30"/>
        <v>179919.43359375</v>
      </c>
    </row>
    <row r="56" spans="1:9" s="563" customFormat="1" x14ac:dyDescent="0.25">
      <c r="A56" s="271" t="s">
        <v>215</v>
      </c>
      <c r="B56" s="158">
        <v>119</v>
      </c>
      <c r="C56" s="158">
        <f t="shared" si="30"/>
        <v>126.4375</v>
      </c>
      <c r="D56" s="158"/>
      <c r="E56" s="158">
        <f t="shared" si="27"/>
        <v>126.4375</v>
      </c>
      <c r="F56" s="630">
        <v>0</v>
      </c>
      <c r="G56" s="158">
        <f t="shared" si="28"/>
        <v>126.4375</v>
      </c>
      <c r="H56" s="158">
        <f t="shared" si="29"/>
        <v>134.33984375</v>
      </c>
      <c r="I56" s="386">
        <f t="shared" si="30"/>
        <v>142.736083984375</v>
      </c>
    </row>
    <row r="57" spans="1:9" s="563" customFormat="1" x14ac:dyDescent="0.25">
      <c r="A57" s="271" t="s">
        <v>219</v>
      </c>
      <c r="B57" s="158">
        <v>46642</v>
      </c>
      <c r="C57" s="158">
        <f t="shared" si="30"/>
        <v>49557.125</v>
      </c>
      <c r="D57" s="158"/>
      <c r="E57" s="158">
        <f t="shared" si="27"/>
        <v>49557.125</v>
      </c>
      <c r="F57" s="630">
        <v>0</v>
      </c>
      <c r="G57" s="158">
        <f t="shared" si="28"/>
        <v>49557.125</v>
      </c>
      <c r="H57" s="158">
        <f t="shared" si="29"/>
        <v>52654.4453125</v>
      </c>
      <c r="I57" s="386">
        <f t="shared" si="30"/>
        <v>55945.34814453125</v>
      </c>
    </row>
    <row r="58" spans="1:9" s="563" customFormat="1" x14ac:dyDescent="0.25">
      <c r="A58" s="271" t="s">
        <v>268</v>
      </c>
      <c r="B58" s="158">
        <v>4732</v>
      </c>
      <c r="C58" s="158">
        <f t="shared" si="30"/>
        <v>5027.75</v>
      </c>
      <c r="D58" s="158"/>
      <c r="E58" s="158">
        <f t="shared" si="27"/>
        <v>5027.75</v>
      </c>
      <c r="F58" s="630">
        <v>0</v>
      </c>
      <c r="G58" s="158">
        <f t="shared" si="28"/>
        <v>5027.75</v>
      </c>
      <c r="H58" s="158">
        <f t="shared" si="29"/>
        <v>5341.984375</v>
      </c>
      <c r="I58" s="386">
        <f t="shared" si="30"/>
        <v>5675.8583984375</v>
      </c>
    </row>
    <row r="59" spans="1:9" s="563" customFormat="1" x14ac:dyDescent="0.25">
      <c r="A59" s="271" t="s">
        <v>360</v>
      </c>
      <c r="B59" s="158">
        <v>13154</v>
      </c>
      <c r="C59" s="158">
        <f t="shared" si="30"/>
        <v>13976.125</v>
      </c>
      <c r="D59" s="158"/>
      <c r="E59" s="158">
        <f t="shared" si="27"/>
        <v>13976.125</v>
      </c>
      <c r="F59" s="630">
        <v>0</v>
      </c>
      <c r="G59" s="158">
        <f t="shared" si="28"/>
        <v>13976.125</v>
      </c>
      <c r="H59" s="158">
        <f t="shared" si="29"/>
        <v>14849.6328125</v>
      </c>
      <c r="I59" s="386">
        <f t="shared" si="30"/>
        <v>15777.73486328125</v>
      </c>
    </row>
    <row r="60" spans="1:9" x14ac:dyDescent="0.25">
      <c r="A60" s="424" t="s">
        <v>42</v>
      </c>
      <c r="B60" s="246">
        <f>SUM(B45:B59)</f>
        <v>447124.5</v>
      </c>
      <c r="C60" s="246">
        <f>SUM(C43:C59)</f>
        <v>560308.84375</v>
      </c>
      <c r="D60" s="246">
        <f t="shared" ref="D60:E60" si="31">SUM(D43:D59)</f>
        <v>0</v>
      </c>
      <c r="E60" s="246">
        <f t="shared" si="31"/>
        <v>560308.84375</v>
      </c>
      <c r="F60" s="246">
        <f t="shared" ref="F60:G60" si="32">SUM(F43:F59)</f>
        <v>0</v>
      </c>
      <c r="G60" s="246">
        <f t="shared" si="32"/>
        <v>560308.84375</v>
      </c>
      <c r="H60" s="246">
        <f>SUM(H43:H59)</f>
        <v>595328.146484375</v>
      </c>
      <c r="I60" s="246">
        <f>SUM(I43:I59)</f>
        <v>631766.34035644529</v>
      </c>
    </row>
    <row r="61" spans="1:9" x14ac:dyDescent="0.25">
      <c r="A61" s="425"/>
      <c r="B61" s="246"/>
      <c r="C61" s="158"/>
      <c r="D61" s="239"/>
      <c r="E61" s="239"/>
      <c r="F61" s="239"/>
      <c r="G61" s="239"/>
      <c r="H61" s="239"/>
      <c r="I61" s="386"/>
    </row>
    <row r="62" spans="1:9" x14ac:dyDescent="0.25">
      <c r="A62" s="424" t="s">
        <v>46</v>
      </c>
      <c r="B62" s="246">
        <f>B20+B29+B33+B41+B60</f>
        <v>7639706.5</v>
      </c>
      <c r="C62" s="246">
        <f>C20+C29+C33+C41+C60</f>
        <v>8175795.65625</v>
      </c>
      <c r="D62" s="246">
        <f t="shared" ref="D62:E62" si="33">D20+D29+D33+D41+D60</f>
        <v>0</v>
      </c>
      <c r="E62" s="246">
        <f t="shared" si="33"/>
        <v>8175795.65625</v>
      </c>
      <c r="F62" s="246">
        <f t="shared" ref="F62:G62" si="34">F20+F29+F33+F41+F60</f>
        <v>0</v>
      </c>
      <c r="G62" s="246">
        <f t="shared" si="34"/>
        <v>8175795.65625</v>
      </c>
      <c r="H62" s="246">
        <f>H20+H29+H33+H41+H60</f>
        <v>8686782.884765625</v>
      </c>
      <c r="I62" s="246">
        <f>I20+I29+I33+I41+I60</f>
        <v>9227396.102581054</v>
      </c>
    </row>
    <row r="63" spans="1:9" x14ac:dyDescent="0.25">
      <c r="A63" s="565"/>
      <c r="B63" s="246"/>
      <c r="C63" s="243"/>
      <c r="D63" s="243"/>
      <c r="E63" s="243"/>
      <c r="F63" s="243"/>
      <c r="G63" s="243"/>
      <c r="H63" s="243"/>
      <c r="I63" s="386"/>
    </row>
    <row r="64" spans="1:9" ht="15.75" thickBot="1" x14ac:dyDescent="0.3">
      <c r="A64" s="566" t="s">
        <v>282</v>
      </c>
      <c r="B64" s="392">
        <f>B8+B62</f>
        <v>501690.5</v>
      </c>
      <c r="C64" s="392">
        <f>C8+C62</f>
        <v>591653.65625</v>
      </c>
      <c r="D64" s="392">
        <f t="shared" ref="D64:E64" si="35">D8+D62</f>
        <v>0</v>
      </c>
      <c r="E64" s="392">
        <f t="shared" si="35"/>
        <v>591653.65625</v>
      </c>
      <c r="F64" s="392">
        <f t="shared" ref="F64:G64" si="36">F8+F62</f>
        <v>0</v>
      </c>
      <c r="G64" s="392">
        <f t="shared" si="36"/>
        <v>591653.65625</v>
      </c>
      <c r="H64" s="392">
        <f>H8+H62</f>
        <v>628632.009765625</v>
      </c>
      <c r="I64" s="392">
        <f>I8+I62</f>
        <v>665610.79789355397</v>
      </c>
    </row>
    <row r="65" spans="1:8" x14ac:dyDescent="0.25">
      <c r="A65" s="483"/>
      <c r="B65" s="359"/>
      <c r="C65" s="483"/>
      <c r="D65" s="483"/>
      <c r="E65" s="483"/>
      <c r="F65" s="483"/>
      <c r="G65" s="483"/>
      <c r="H65" s="483"/>
    </row>
  </sheetData>
  <pageMargins left="0.7" right="0.7" top="0.75" bottom="0.75" header="0.3" footer="0.3"/>
  <pageSetup paperSize="9" scale="50" orientation="landscape" r:id="rId1"/>
  <headerFooter>
    <oddFooter>&amp;A&amp;RPage &amp;P</oddFooter>
  </headerFooter>
  <legacy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9">
    <pageSetUpPr fitToPage="1"/>
  </sheetPr>
  <dimension ref="A1:L43"/>
  <sheetViews>
    <sheetView view="pageBreakPreview" zoomScale="60" zoomScaleNormal="100" workbookViewId="0">
      <selection activeCell="F1" sqref="F1"/>
    </sheetView>
  </sheetViews>
  <sheetFormatPr defaultColWidth="9.140625" defaultRowHeight="15" x14ac:dyDescent="0.25"/>
  <cols>
    <col min="1" max="1" width="29.28515625" style="352" customWidth="1"/>
    <col min="2" max="2" width="13.7109375" style="247" hidden="1" customWidth="1"/>
    <col min="3" max="7" width="17.42578125" style="247" customWidth="1"/>
    <col min="8" max="8" width="16.28515625" style="247" customWidth="1"/>
    <col min="9" max="9" width="13.7109375" style="583" bestFit="1" customWidth="1"/>
    <col min="10" max="12" width="0" style="483" hidden="1" customWidth="1"/>
    <col min="13" max="16384" width="9.140625" style="483"/>
  </cols>
  <sheetData>
    <row r="1" spans="1:12" ht="18.75" x14ac:dyDescent="0.3">
      <c r="A1" s="519" t="s">
        <v>525</v>
      </c>
      <c r="B1" s="361"/>
      <c r="C1" s="361"/>
      <c r="D1" s="361"/>
      <c r="E1" s="361"/>
      <c r="F1" s="361"/>
      <c r="G1" s="361"/>
      <c r="H1" s="361"/>
    </row>
    <row r="2" spans="1:12" ht="15.75" thickBot="1" x14ac:dyDescent="0.3"/>
    <row r="3" spans="1:12" ht="45" customHeight="1" thickBot="1" x14ac:dyDescent="0.3">
      <c r="A3" s="521" t="s">
        <v>39</v>
      </c>
      <c r="B3" s="384" t="s">
        <v>393</v>
      </c>
      <c r="C3" s="558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58" t="s">
        <v>556</v>
      </c>
      <c r="I3" s="584" t="s">
        <v>644</v>
      </c>
    </row>
    <row r="4" spans="1:12" x14ac:dyDescent="0.25">
      <c r="A4" s="585" t="s">
        <v>185</v>
      </c>
      <c r="B4" s="586">
        <v>-4588338</v>
      </c>
      <c r="C4" s="239">
        <f>B4+(B4*6.25%)</f>
        <v>-4875109.125</v>
      </c>
      <c r="D4" s="239"/>
      <c r="E4" s="239">
        <f>C4+D4</f>
        <v>-4875109.125</v>
      </c>
      <c r="F4" s="630">
        <v>0</v>
      </c>
      <c r="G4" s="239">
        <f>C4+F4</f>
        <v>-4875109.125</v>
      </c>
      <c r="H4" s="239">
        <f t="shared" ref="H4:H9" si="0">C4+(C4*6.25%)</f>
        <v>-5179803.4453125</v>
      </c>
      <c r="I4" s="386">
        <f>H4+(H4*6.25%)</f>
        <v>-5503541.1606445313</v>
      </c>
    </row>
    <row r="5" spans="1:12" x14ac:dyDescent="0.25">
      <c r="A5" s="560" t="s">
        <v>209</v>
      </c>
      <c r="B5" s="160">
        <v>-393180</v>
      </c>
      <c r="C5" s="239">
        <f t="shared" ref="C5:I9" si="1">B5+(B5*6.25%)</f>
        <v>-417753.75</v>
      </c>
      <c r="D5" s="239"/>
      <c r="E5" s="239">
        <f t="shared" ref="E5:E9" si="2">C5+D5</f>
        <v>-417753.75</v>
      </c>
      <c r="F5" s="630">
        <v>0</v>
      </c>
      <c r="G5" s="239">
        <f t="shared" ref="G5:G9" si="3">C5+F5</f>
        <v>-417753.75</v>
      </c>
      <c r="H5" s="239">
        <f t="shared" si="0"/>
        <v>-443863.359375</v>
      </c>
      <c r="I5" s="386">
        <f t="shared" si="1"/>
        <v>-471604.8193359375</v>
      </c>
    </row>
    <row r="6" spans="1:12" x14ac:dyDescent="0.25">
      <c r="A6" s="560" t="s">
        <v>183</v>
      </c>
      <c r="B6" s="160">
        <v>-21080</v>
      </c>
      <c r="C6" s="239">
        <f t="shared" si="1"/>
        <v>-22397.5</v>
      </c>
      <c r="D6" s="239"/>
      <c r="E6" s="239">
        <f t="shared" si="2"/>
        <v>-22397.5</v>
      </c>
      <c r="F6" s="630">
        <v>0</v>
      </c>
      <c r="G6" s="239">
        <f t="shared" si="3"/>
        <v>-22397.5</v>
      </c>
      <c r="H6" s="239">
        <f t="shared" si="0"/>
        <v>-23797.34375</v>
      </c>
      <c r="I6" s="386">
        <f t="shared" si="1"/>
        <v>-25284.677734375</v>
      </c>
      <c r="J6" s="498">
        <f>SUM(C6,C7)</f>
        <v>-39195.625</v>
      </c>
      <c r="K6" s="498">
        <f>SUM(H6,H7)</f>
        <v>-41645.3515625</v>
      </c>
      <c r="L6" s="498">
        <f>SUM(I6,I7)</f>
        <v>-44248.18603515625</v>
      </c>
    </row>
    <row r="7" spans="1:12" x14ac:dyDescent="0.25">
      <c r="A7" s="560" t="s">
        <v>277</v>
      </c>
      <c r="B7" s="160">
        <v>-15810</v>
      </c>
      <c r="C7" s="239">
        <f t="shared" si="1"/>
        <v>-16798.125</v>
      </c>
      <c r="D7" s="239"/>
      <c r="E7" s="239">
        <f t="shared" si="2"/>
        <v>-16798.125</v>
      </c>
      <c r="F7" s="630">
        <v>0</v>
      </c>
      <c r="G7" s="239">
        <f t="shared" si="3"/>
        <v>-16798.125</v>
      </c>
      <c r="H7" s="239">
        <f t="shared" si="0"/>
        <v>-17848.0078125</v>
      </c>
      <c r="I7" s="386">
        <f t="shared" si="1"/>
        <v>-18963.50830078125</v>
      </c>
    </row>
    <row r="8" spans="1:12" x14ac:dyDescent="0.25">
      <c r="A8" s="560" t="s">
        <v>371</v>
      </c>
      <c r="B8" s="160">
        <v>-40088</v>
      </c>
      <c r="C8" s="239">
        <f t="shared" si="1"/>
        <v>-42593.5</v>
      </c>
      <c r="D8" s="239"/>
      <c r="E8" s="239">
        <f t="shared" si="2"/>
        <v>-42593.5</v>
      </c>
      <c r="F8" s="630">
        <v>0</v>
      </c>
      <c r="G8" s="239">
        <f t="shared" si="3"/>
        <v>-42593.5</v>
      </c>
      <c r="H8" s="239">
        <f t="shared" si="0"/>
        <v>-45255.59375</v>
      </c>
      <c r="I8" s="386">
        <f t="shared" si="1"/>
        <v>-48084.068359375</v>
      </c>
    </row>
    <row r="9" spans="1:12" x14ac:dyDescent="0.25">
      <c r="A9" s="560" t="s">
        <v>253</v>
      </c>
      <c r="B9" s="160">
        <v>-26614</v>
      </c>
      <c r="C9" s="239">
        <f t="shared" si="1"/>
        <v>-28277.375</v>
      </c>
      <c r="D9" s="239"/>
      <c r="E9" s="239">
        <f t="shared" si="2"/>
        <v>-28277.375</v>
      </c>
      <c r="F9" s="630">
        <v>0</v>
      </c>
      <c r="G9" s="239">
        <f t="shared" si="3"/>
        <v>-28277.375</v>
      </c>
      <c r="H9" s="239">
        <f t="shared" si="0"/>
        <v>-30044.7109375</v>
      </c>
      <c r="I9" s="386">
        <f t="shared" si="1"/>
        <v>-31922.50537109375</v>
      </c>
    </row>
    <row r="10" spans="1:12" x14ac:dyDescent="0.25">
      <c r="A10" s="424" t="s">
        <v>182</v>
      </c>
      <c r="B10" s="246">
        <f>SUM(B4:B9)</f>
        <v>-5085110</v>
      </c>
      <c r="C10" s="351">
        <f>SUM(C4:C9)</f>
        <v>-5402929.375</v>
      </c>
      <c r="D10" s="351">
        <f t="shared" ref="D10:E10" si="4">SUM(D4:D9)</f>
        <v>0</v>
      </c>
      <c r="E10" s="351">
        <f t="shared" si="4"/>
        <v>-5402929.375</v>
      </c>
      <c r="F10" s="351">
        <f t="shared" ref="F10:G10" si="5">SUM(F4:F9)</f>
        <v>0</v>
      </c>
      <c r="G10" s="351">
        <f t="shared" si="5"/>
        <v>-5402929.375</v>
      </c>
      <c r="H10" s="246">
        <f>SUM(H4:H9)</f>
        <v>-5740612.4609375</v>
      </c>
      <c r="I10" s="387">
        <f>SUM(I4:I9)</f>
        <v>-6099400.7397460938</v>
      </c>
    </row>
    <row r="11" spans="1:12" ht="18.75" x14ac:dyDescent="0.3">
      <c r="A11" s="561"/>
      <c r="B11" s="567"/>
      <c r="C11" s="568"/>
      <c r="D11" s="568"/>
      <c r="E11" s="568"/>
      <c r="F11" s="568"/>
      <c r="G11" s="568"/>
      <c r="H11" s="562"/>
      <c r="I11" s="386"/>
    </row>
    <row r="12" spans="1:12" s="563" customFormat="1" x14ac:dyDescent="0.25">
      <c r="A12" s="253" t="s">
        <v>2</v>
      </c>
      <c r="B12" s="158">
        <v>1161168</v>
      </c>
      <c r="C12" s="239">
        <f>B12+(B12*6.25%)</f>
        <v>1233741</v>
      </c>
      <c r="D12" s="239"/>
      <c r="E12" s="239">
        <f t="shared" ref="E12:E21" si="6">C12+D12</f>
        <v>1233741</v>
      </c>
      <c r="F12" s="630">
        <v>0</v>
      </c>
      <c r="G12" s="239">
        <f t="shared" ref="G12:G21" si="7">C12+F12</f>
        <v>1233741</v>
      </c>
      <c r="H12" s="239">
        <f t="shared" ref="H12:H21" si="8">C12+(C12*6.25%)</f>
        <v>1310849.8125</v>
      </c>
      <c r="I12" s="386">
        <f>H12+(H12*6.25%)</f>
        <v>1392777.92578125</v>
      </c>
    </row>
    <row r="13" spans="1:12" s="563" customFormat="1" x14ac:dyDescent="0.25">
      <c r="A13" s="253" t="s">
        <v>3</v>
      </c>
      <c r="B13" s="158">
        <v>180095</v>
      </c>
      <c r="C13" s="239">
        <f t="shared" ref="C13:I21" si="9">B13+(B13*6.25%)</f>
        <v>191350.9375</v>
      </c>
      <c r="D13" s="239"/>
      <c r="E13" s="239">
        <f t="shared" si="6"/>
        <v>191350.9375</v>
      </c>
      <c r="F13" s="630">
        <v>0</v>
      </c>
      <c r="G13" s="239">
        <f t="shared" si="7"/>
        <v>191350.9375</v>
      </c>
      <c r="H13" s="239">
        <f t="shared" si="8"/>
        <v>203310.37109375</v>
      </c>
      <c r="I13" s="386">
        <f t="shared" si="9"/>
        <v>216017.26928710938</v>
      </c>
    </row>
    <row r="14" spans="1:12" s="563" customFormat="1" x14ac:dyDescent="0.25">
      <c r="A14" s="253" t="s">
        <v>17</v>
      </c>
      <c r="B14" s="158">
        <v>9555</v>
      </c>
      <c r="C14" s="239">
        <f t="shared" si="9"/>
        <v>10152.1875</v>
      </c>
      <c r="D14" s="239"/>
      <c r="E14" s="239">
        <f t="shared" si="6"/>
        <v>10152.1875</v>
      </c>
      <c r="F14" s="630">
        <v>0</v>
      </c>
      <c r="G14" s="239">
        <f t="shared" si="7"/>
        <v>10152.1875</v>
      </c>
      <c r="H14" s="239">
        <f t="shared" si="8"/>
        <v>10786.69921875</v>
      </c>
      <c r="I14" s="386">
        <f t="shared" si="9"/>
        <v>11460.867919921875</v>
      </c>
    </row>
    <row r="15" spans="1:12" s="563" customFormat="1" x14ac:dyDescent="0.25">
      <c r="A15" s="253" t="s">
        <v>372</v>
      </c>
      <c r="B15" s="158">
        <v>17976</v>
      </c>
      <c r="C15" s="239">
        <f t="shared" si="9"/>
        <v>19099.5</v>
      </c>
      <c r="D15" s="239"/>
      <c r="E15" s="239">
        <f t="shared" si="6"/>
        <v>19099.5</v>
      </c>
      <c r="F15" s="630">
        <v>0</v>
      </c>
      <c r="G15" s="239">
        <f t="shared" si="7"/>
        <v>19099.5</v>
      </c>
      <c r="H15" s="239">
        <f t="shared" si="8"/>
        <v>20293.21875</v>
      </c>
      <c r="I15" s="386">
        <f t="shared" si="9"/>
        <v>21561.544921875</v>
      </c>
    </row>
    <row r="16" spans="1:12" s="563" customFormat="1" x14ac:dyDescent="0.25">
      <c r="A16" s="253" t="s">
        <v>385</v>
      </c>
      <c r="B16" s="158">
        <v>50000</v>
      </c>
      <c r="C16" s="239">
        <f t="shared" si="9"/>
        <v>53125</v>
      </c>
      <c r="D16" s="239"/>
      <c r="E16" s="239">
        <f t="shared" si="6"/>
        <v>53125</v>
      </c>
      <c r="F16" s="630">
        <v>0</v>
      </c>
      <c r="G16" s="239">
        <f t="shared" si="7"/>
        <v>53125</v>
      </c>
      <c r="H16" s="239">
        <f t="shared" si="8"/>
        <v>56445.3125</v>
      </c>
      <c r="I16" s="386">
        <f t="shared" si="9"/>
        <v>59973.14453125</v>
      </c>
    </row>
    <row r="17" spans="1:9" s="563" customFormat="1" x14ac:dyDescent="0.25">
      <c r="A17" s="253" t="s">
        <v>172</v>
      </c>
      <c r="B17" s="158">
        <v>50578</v>
      </c>
      <c r="C17" s="239">
        <f t="shared" si="9"/>
        <v>53739.125</v>
      </c>
      <c r="D17" s="239"/>
      <c r="E17" s="239">
        <f t="shared" si="6"/>
        <v>53739.125</v>
      </c>
      <c r="F17" s="630">
        <v>0</v>
      </c>
      <c r="G17" s="239">
        <f t="shared" si="7"/>
        <v>53739.125</v>
      </c>
      <c r="H17" s="239">
        <f t="shared" si="8"/>
        <v>57097.8203125</v>
      </c>
      <c r="I17" s="386">
        <f t="shared" si="9"/>
        <v>60666.43408203125</v>
      </c>
    </row>
    <row r="18" spans="1:9" s="563" customFormat="1" x14ac:dyDescent="0.25">
      <c r="A18" s="253" t="s">
        <v>210</v>
      </c>
      <c r="B18" s="158">
        <v>29649</v>
      </c>
      <c r="C18" s="239">
        <f t="shared" si="9"/>
        <v>31502.0625</v>
      </c>
      <c r="D18" s="239"/>
      <c r="E18" s="239">
        <f t="shared" si="6"/>
        <v>31502.0625</v>
      </c>
      <c r="F18" s="630">
        <v>0</v>
      </c>
      <c r="G18" s="239">
        <f t="shared" si="7"/>
        <v>31502.0625</v>
      </c>
      <c r="H18" s="239">
        <f t="shared" si="8"/>
        <v>33470.94140625</v>
      </c>
      <c r="I18" s="386">
        <f t="shared" si="9"/>
        <v>35562.875244140625</v>
      </c>
    </row>
    <row r="19" spans="1:9" s="563" customFormat="1" x14ac:dyDescent="0.25">
      <c r="A19" s="253" t="s">
        <v>5</v>
      </c>
      <c r="B19" s="158">
        <v>137863</v>
      </c>
      <c r="C19" s="239">
        <f t="shared" si="9"/>
        <v>146479.4375</v>
      </c>
      <c r="D19" s="239"/>
      <c r="E19" s="239">
        <f t="shared" si="6"/>
        <v>146479.4375</v>
      </c>
      <c r="F19" s="630">
        <v>0</v>
      </c>
      <c r="G19" s="239">
        <f t="shared" si="7"/>
        <v>146479.4375</v>
      </c>
      <c r="H19" s="239">
        <f t="shared" si="8"/>
        <v>155634.40234375</v>
      </c>
      <c r="I19" s="386">
        <f t="shared" si="9"/>
        <v>165361.55249023438</v>
      </c>
    </row>
    <row r="20" spans="1:9" s="563" customFormat="1" x14ac:dyDescent="0.25">
      <c r="A20" s="253" t="s">
        <v>382</v>
      </c>
      <c r="B20" s="158">
        <v>8232</v>
      </c>
      <c r="C20" s="239">
        <f t="shared" si="9"/>
        <v>8746.5</v>
      </c>
      <c r="D20" s="239"/>
      <c r="E20" s="239">
        <f t="shared" si="6"/>
        <v>8746.5</v>
      </c>
      <c r="F20" s="630">
        <v>0</v>
      </c>
      <c r="G20" s="239">
        <f t="shared" si="7"/>
        <v>8746.5</v>
      </c>
      <c r="H20" s="239">
        <f t="shared" si="8"/>
        <v>9293.15625</v>
      </c>
      <c r="I20" s="386">
        <f t="shared" si="9"/>
        <v>9873.978515625</v>
      </c>
    </row>
    <row r="21" spans="1:9" s="563" customFormat="1" x14ac:dyDescent="0.25">
      <c r="A21" s="253" t="s">
        <v>275</v>
      </c>
      <c r="B21" s="158">
        <v>62836</v>
      </c>
      <c r="C21" s="239">
        <f t="shared" si="9"/>
        <v>66763.25</v>
      </c>
      <c r="D21" s="239"/>
      <c r="E21" s="239">
        <f t="shared" si="6"/>
        <v>66763.25</v>
      </c>
      <c r="F21" s="630">
        <v>0</v>
      </c>
      <c r="G21" s="239">
        <f t="shared" si="7"/>
        <v>66763.25</v>
      </c>
      <c r="H21" s="239">
        <f t="shared" si="8"/>
        <v>70935.953125</v>
      </c>
      <c r="I21" s="386">
        <f t="shared" si="9"/>
        <v>75369.4501953125</v>
      </c>
    </row>
    <row r="22" spans="1:9" s="563" customFormat="1" x14ac:dyDescent="0.25">
      <c r="A22" s="424" t="s">
        <v>40</v>
      </c>
      <c r="B22" s="246">
        <f>SUM(B12:B21)</f>
        <v>1707952</v>
      </c>
      <c r="C22" s="351">
        <f>SUM(C12:C21)</f>
        <v>1814699</v>
      </c>
      <c r="D22" s="351">
        <f t="shared" ref="D22:E22" si="10">SUM(D12:D21)</f>
        <v>0</v>
      </c>
      <c r="E22" s="351">
        <f t="shared" si="10"/>
        <v>1814699</v>
      </c>
      <c r="F22" s="351">
        <f t="shared" ref="F22:G22" si="11">SUM(F12:F21)</f>
        <v>0</v>
      </c>
      <c r="G22" s="351">
        <f t="shared" si="11"/>
        <v>1814699</v>
      </c>
      <c r="H22" s="351">
        <f>SUM(H12:H21)</f>
        <v>1928117.6875</v>
      </c>
      <c r="I22" s="387">
        <f>SUM(I12:I21)</f>
        <v>2048625.04296875</v>
      </c>
    </row>
    <row r="23" spans="1:9" s="563" customFormat="1" x14ac:dyDescent="0.25">
      <c r="A23" s="253"/>
      <c r="B23" s="158"/>
      <c r="C23" s="239"/>
      <c r="D23" s="239"/>
      <c r="E23" s="239"/>
      <c r="F23" s="239"/>
      <c r="G23" s="239"/>
      <c r="H23" s="158"/>
      <c r="I23" s="386"/>
    </row>
    <row r="24" spans="1:9" s="563" customFormat="1" x14ac:dyDescent="0.25">
      <c r="A24" s="253" t="s">
        <v>6</v>
      </c>
      <c r="B24" s="158">
        <v>115914</v>
      </c>
      <c r="C24" s="239">
        <f>B24+(B24*6.25%)</f>
        <v>123158.625</v>
      </c>
      <c r="D24" s="239"/>
      <c r="E24" s="239">
        <f t="shared" ref="E24:E27" si="12">C24+D24</f>
        <v>123158.625</v>
      </c>
      <c r="F24" s="630">
        <v>0</v>
      </c>
      <c r="G24" s="239">
        <f t="shared" ref="G24:G27" si="13">C24+F24</f>
        <v>123158.625</v>
      </c>
      <c r="H24" s="239">
        <f>C24+(C24*6.25%)</f>
        <v>130856.0390625</v>
      </c>
      <c r="I24" s="386">
        <f>H24+(H24*6.25%)</f>
        <v>139034.54150390625</v>
      </c>
    </row>
    <row r="25" spans="1:9" s="563" customFormat="1" x14ac:dyDescent="0.25">
      <c r="A25" s="253" t="s">
        <v>7</v>
      </c>
      <c r="B25" s="158">
        <v>28643</v>
      </c>
      <c r="C25" s="239">
        <f t="shared" ref="C25:I27" si="14">B25+(B25*6.25%)</f>
        <v>30433.1875</v>
      </c>
      <c r="D25" s="239"/>
      <c r="E25" s="239">
        <f t="shared" si="12"/>
        <v>30433.1875</v>
      </c>
      <c r="F25" s="630">
        <v>0</v>
      </c>
      <c r="G25" s="239">
        <f t="shared" si="13"/>
        <v>30433.1875</v>
      </c>
      <c r="H25" s="239">
        <f>C25+(C25*6.25%)</f>
        <v>32335.26171875</v>
      </c>
      <c r="I25" s="386">
        <f t="shared" si="14"/>
        <v>34356.215576171875</v>
      </c>
    </row>
    <row r="26" spans="1:9" s="563" customFormat="1" x14ac:dyDescent="0.25">
      <c r="A26" s="253" t="s">
        <v>53</v>
      </c>
      <c r="B26" s="158">
        <v>453392</v>
      </c>
      <c r="C26" s="239">
        <f t="shared" si="14"/>
        <v>481729</v>
      </c>
      <c r="D26" s="239"/>
      <c r="E26" s="239">
        <f t="shared" si="12"/>
        <v>481729</v>
      </c>
      <c r="F26" s="630">
        <v>0</v>
      </c>
      <c r="G26" s="239">
        <f t="shared" si="13"/>
        <v>481729</v>
      </c>
      <c r="H26" s="239">
        <f>C26+(C26*6.25%)</f>
        <v>511837.0625</v>
      </c>
      <c r="I26" s="386">
        <f t="shared" si="14"/>
        <v>543826.87890625</v>
      </c>
    </row>
    <row r="27" spans="1:9" s="563" customFormat="1" x14ac:dyDescent="0.25">
      <c r="A27" s="253" t="s">
        <v>174</v>
      </c>
      <c r="B27" s="158">
        <v>1396</v>
      </c>
      <c r="C27" s="239">
        <f t="shared" si="14"/>
        <v>1483.25</v>
      </c>
      <c r="D27" s="239"/>
      <c r="E27" s="239">
        <f t="shared" si="12"/>
        <v>1483.25</v>
      </c>
      <c r="F27" s="630">
        <v>0</v>
      </c>
      <c r="G27" s="239">
        <f t="shared" si="13"/>
        <v>1483.25</v>
      </c>
      <c r="H27" s="239">
        <f>C27+(C27*6.25%)</f>
        <v>1575.953125</v>
      </c>
      <c r="I27" s="386">
        <f t="shared" si="14"/>
        <v>1674.4501953125</v>
      </c>
    </row>
    <row r="28" spans="1:9" s="563" customFormat="1" x14ac:dyDescent="0.25">
      <c r="A28" s="552"/>
      <c r="B28" s="552"/>
      <c r="C28" s="552"/>
      <c r="D28" s="552"/>
      <c r="E28" s="552"/>
      <c r="F28" s="552"/>
      <c r="G28" s="552"/>
      <c r="H28" s="552"/>
      <c r="I28" s="603"/>
    </row>
    <row r="29" spans="1:9" s="563" customFormat="1" x14ac:dyDescent="0.25">
      <c r="A29" s="424" t="s">
        <v>41</v>
      </c>
      <c r="B29" s="246">
        <f ca="1">SUM(B24:B35)</f>
        <v>2531004</v>
      </c>
      <c r="C29" s="351">
        <f>SUM(C24:C27)</f>
        <v>636804.0625</v>
      </c>
      <c r="D29" s="351">
        <f t="shared" ref="D29:E29" si="15">SUM(D24:D27)</f>
        <v>0</v>
      </c>
      <c r="E29" s="351">
        <f t="shared" si="15"/>
        <v>636804.0625</v>
      </c>
      <c r="F29" s="351">
        <f t="shared" ref="F29:G29" si="16">SUM(F24:F27)</f>
        <v>0</v>
      </c>
      <c r="G29" s="351">
        <f t="shared" si="16"/>
        <v>636804.0625</v>
      </c>
      <c r="H29" s="351">
        <f>SUM(H24:H27)</f>
        <v>676604.31640625</v>
      </c>
      <c r="I29" s="387">
        <f>SUM(I24:I27)</f>
        <v>718892.08618164063</v>
      </c>
    </row>
    <row r="30" spans="1:9" x14ac:dyDescent="0.25">
      <c r="A30" s="253"/>
      <c r="B30" s="158"/>
      <c r="C30" s="239"/>
      <c r="D30" s="239"/>
      <c r="E30" s="239"/>
      <c r="F30" s="239"/>
      <c r="G30" s="239"/>
      <c r="H30" s="158"/>
      <c r="I30" s="386"/>
    </row>
    <row r="31" spans="1:9" s="563" customFormat="1" x14ac:dyDescent="0.25">
      <c r="A31" s="253" t="s">
        <v>436</v>
      </c>
      <c r="B31" s="158">
        <v>94546</v>
      </c>
      <c r="C31" s="239">
        <f t="shared" ref="C31:I32" si="17">B31+(B31*6.25%)</f>
        <v>100455.125</v>
      </c>
      <c r="D31" s="239"/>
      <c r="E31" s="239">
        <f t="shared" ref="E31:E32" si="18">C31+D31</f>
        <v>100455.125</v>
      </c>
      <c r="F31" s="630">
        <v>0</v>
      </c>
      <c r="G31" s="239">
        <f t="shared" ref="G31:G32" si="19">C31+F31</f>
        <v>100455.125</v>
      </c>
      <c r="H31" s="239">
        <f>C31+(C31*6.25%)</f>
        <v>106733.5703125</v>
      </c>
      <c r="I31" s="386">
        <f t="shared" si="17"/>
        <v>113404.41845703125</v>
      </c>
    </row>
    <row r="32" spans="1:9" s="563" customFormat="1" x14ac:dyDescent="0.25">
      <c r="A32" s="253" t="s">
        <v>20</v>
      </c>
      <c r="B32" s="158">
        <v>550000</v>
      </c>
      <c r="C32" s="239">
        <f t="shared" si="17"/>
        <v>584375</v>
      </c>
      <c r="D32" s="239"/>
      <c r="E32" s="239">
        <f t="shared" si="18"/>
        <v>584375</v>
      </c>
      <c r="F32" s="630">
        <v>0</v>
      </c>
      <c r="G32" s="239">
        <f t="shared" si="19"/>
        <v>584375</v>
      </c>
      <c r="H32" s="239">
        <f>C32+(C32*6.25%)</f>
        <v>620898.4375</v>
      </c>
      <c r="I32" s="386">
        <f t="shared" si="17"/>
        <v>659704.58984375</v>
      </c>
    </row>
    <row r="33" spans="1:9" s="563" customFormat="1" x14ac:dyDescent="0.25">
      <c r="A33" s="424" t="s">
        <v>43</v>
      </c>
      <c r="B33" s="246">
        <f>SUM(B31:B32)</f>
        <v>644546</v>
      </c>
      <c r="C33" s="351">
        <f>SUM(C31:C32)</f>
        <v>684830.125</v>
      </c>
      <c r="D33" s="351">
        <f t="shared" ref="D33:E33" si="20">SUM(D31:D32)</f>
        <v>0</v>
      </c>
      <c r="E33" s="351">
        <f t="shared" si="20"/>
        <v>684830.125</v>
      </c>
      <c r="F33" s="351">
        <f t="shared" ref="F33:G33" si="21">SUM(F31:F32)</f>
        <v>0</v>
      </c>
      <c r="G33" s="351">
        <f t="shared" si="21"/>
        <v>684830.125</v>
      </c>
      <c r="H33" s="351">
        <f>SUM(H31:H32)</f>
        <v>727632.0078125</v>
      </c>
      <c r="I33" s="387">
        <f>SUM(I31:I32)</f>
        <v>773109.00830078125</v>
      </c>
    </row>
    <row r="34" spans="1:9" s="563" customFormat="1" x14ac:dyDescent="0.25">
      <c r="A34" s="477"/>
      <c r="B34" s="246"/>
      <c r="C34" s="351"/>
      <c r="D34" s="351"/>
      <c r="E34" s="351"/>
      <c r="F34" s="351"/>
      <c r="G34" s="351"/>
      <c r="H34" s="351"/>
      <c r="I34" s="387"/>
    </row>
    <row r="35" spans="1:9" s="563" customFormat="1" x14ac:dyDescent="0.25">
      <c r="A35" s="253" t="s">
        <v>196</v>
      </c>
      <c r="B35" s="158">
        <v>21611</v>
      </c>
      <c r="C35" s="239">
        <f>B35+(B35*6.25%)</f>
        <v>22961.6875</v>
      </c>
      <c r="D35" s="239"/>
      <c r="E35" s="239">
        <f t="shared" ref="E35:E38" si="22">C35+D35</f>
        <v>22961.6875</v>
      </c>
      <c r="F35" s="630">
        <v>0</v>
      </c>
      <c r="G35" s="239">
        <f t="shared" ref="G35:G38" si="23">C35+F35</f>
        <v>22961.6875</v>
      </c>
      <c r="H35" s="239">
        <f>C35+(C35*6.25%)</f>
        <v>24396.79296875</v>
      </c>
      <c r="I35" s="386">
        <f>H35+(H35*6.25%)</f>
        <v>25921.592529296875</v>
      </c>
    </row>
    <row r="36" spans="1:9" s="563" customFormat="1" x14ac:dyDescent="0.25">
      <c r="A36" s="253" t="s">
        <v>24</v>
      </c>
      <c r="B36" s="158">
        <v>406353</v>
      </c>
      <c r="C36" s="239">
        <f>B36+(B36*6.25%)</f>
        <v>431750.0625</v>
      </c>
      <c r="D36" s="239"/>
      <c r="E36" s="239">
        <f t="shared" si="22"/>
        <v>431750.0625</v>
      </c>
      <c r="F36" s="630">
        <v>0</v>
      </c>
      <c r="G36" s="239">
        <f t="shared" si="23"/>
        <v>431750.0625</v>
      </c>
      <c r="H36" s="239">
        <f>C36+(C36*6.25%)</f>
        <v>458734.44140625</v>
      </c>
      <c r="I36" s="386">
        <f>H36+(H36*6.25%)</f>
        <v>487405.34399414063</v>
      </c>
    </row>
    <row r="37" spans="1:9" s="563" customFormat="1" x14ac:dyDescent="0.25">
      <c r="A37" s="271" t="s">
        <v>224</v>
      </c>
      <c r="B37" s="158">
        <f>14589/2</f>
        <v>7294.5</v>
      </c>
      <c r="C37" s="239">
        <f t="shared" ref="C37:I38" si="24">B37+(B37*6.25%)</f>
        <v>7750.40625</v>
      </c>
      <c r="D37" s="239"/>
      <c r="E37" s="239">
        <f t="shared" si="22"/>
        <v>7750.40625</v>
      </c>
      <c r="F37" s="630">
        <v>0</v>
      </c>
      <c r="G37" s="239">
        <f t="shared" si="23"/>
        <v>7750.40625</v>
      </c>
      <c r="H37" s="239">
        <f>C37+(C37*6.25%)</f>
        <v>8234.806640625</v>
      </c>
      <c r="I37" s="386">
        <f t="shared" si="24"/>
        <v>8749.4820556640625</v>
      </c>
    </row>
    <row r="38" spans="1:9" s="563" customFormat="1" x14ac:dyDescent="0.25">
      <c r="A38" s="271" t="s">
        <v>437</v>
      </c>
      <c r="B38" s="158">
        <v>26796</v>
      </c>
      <c r="C38" s="239">
        <f t="shared" si="24"/>
        <v>28470.75</v>
      </c>
      <c r="D38" s="239"/>
      <c r="E38" s="239">
        <f t="shared" si="22"/>
        <v>28470.75</v>
      </c>
      <c r="F38" s="630">
        <v>0</v>
      </c>
      <c r="G38" s="239">
        <f t="shared" si="23"/>
        <v>28470.75</v>
      </c>
      <c r="H38" s="239">
        <f>C38+(C38*6.25%)</f>
        <v>30250.171875</v>
      </c>
      <c r="I38" s="386">
        <f t="shared" si="24"/>
        <v>32140.8076171875</v>
      </c>
    </row>
    <row r="39" spans="1:9" s="563" customFormat="1" x14ac:dyDescent="0.25">
      <c r="A39" s="424" t="s">
        <v>42</v>
      </c>
      <c r="B39" s="246">
        <f>SUM(B36:B38)</f>
        <v>440443.5</v>
      </c>
      <c r="C39" s="351">
        <f>SUM(C35:C38)</f>
        <v>490932.90625</v>
      </c>
      <c r="D39" s="351">
        <f t="shared" ref="D39:E39" si="25">SUM(D35:D38)</f>
        <v>0</v>
      </c>
      <c r="E39" s="351">
        <f t="shared" si="25"/>
        <v>490932.90625</v>
      </c>
      <c r="F39" s="351">
        <f t="shared" ref="F39:G39" si="26">SUM(F35:F38)</f>
        <v>0</v>
      </c>
      <c r="G39" s="351">
        <f t="shared" si="26"/>
        <v>490932.90625</v>
      </c>
      <c r="H39" s="351">
        <f>SUM(H35:H38)</f>
        <v>521616.212890625</v>
      </c>
      <c r="I39" s="387">
        <f>SUM(I35:I38)</f>
        <v>554217.22619628906</v>
      </c>
    </row>
    <row r="40" spans="1:9" s="563" customFormat="1" x14ac:dyDescent="0.25">
      <c r="A40" s="425"/>
      <c r="B40" s="158"/>
      <c r="C40" s="239"/>
      <c r="D40" s="239"/>
      <c r="E40" s="239"/>
      <c r="F40" s="239"/>
      <c r="G40" s="239"/>
      <c r="H40" s="158"/>
      <c r="I40" s="386"/>
    </row>
    <row r="41" spans="1:9" s="563" customFormat="1" x14ac:dyDescent="0.25">
      <c r="A41" s="424" t="s">
        <v>46</v>
      </c>
      <c r="B41" s="246">
        <f ca="1">B39+B33+B29+B22</f>
        <v>5323945.5</v>
      </c>
      <c r="C41" s="351">
        <f>C39+C33+C29+C22</f>
        <v>3627266.09375</v>
      </c>
      <c r="D41" s="351">
        <f t="shared" ref="D41:E41" si="27">D39+D33+D29+D22</f>
        <v>0</v>
      </c>
      <c r="E41" s="351">
        <f t="shared" si="27"/>
        <v>3627266.09375</v>
      </c>
      <c r="F41" s="351">
        <f t="shared" ref="F41:G41" si="28">F39+F33+F29+F22</f>
        <v>0</v>
      </c>
      <c r="G41" s="351">
        <f t="shared" si="28"/>
        <v>3627266.09375</v>
      </c>
      <c r="H41" s="351">
        <f>H39+H33+H29+H22</f>
        <v>3853970.224609375</v>
      </c>
      <c r="I41" s="387">
        <f>I39+I33+I29+I22</f>
        <v>4094843.3636474609</v>
      </c>
    </row>
    <row r="42" spans="1:9" x14ac:dyDescent="0.25">
      <c r="A42" s="565"/>
      <c r="B42" s="243"/>
      <c r="C42" s="243"/>
      <c r="D42" s="243"/>
      <c r="E42" s="243"/>
      <c r="F42" s="243"/>
      <c r="G42" s="243"/>
      <c r="H42" s="158"/>
      <c r="I42" s="386"/>
    </row>
    <row r="43" spans="1:9" ht="15.75" thickBot="1" x14ac:dyDescent="0.3">
      <c r="A43" s="566" t="s">
        <v>282</v>
      </c>
      <c r="B43" s="392">
        <f ca="1">B41+B10</f>
        <v>-1671212.5</v>
      </c>
      <c r="C43" s="422">
        <f>C41+C10</f>
        <v>-1775663.28125</v>
      </c>
      <c r="D43" s="422">
        <f t="shared" ref="D43:E43" si="29">D41+D10</f>
        <v>0</v>
      </c>
      <c r="E43" s="422">
        <f t="shared" si="29"/>
        <v>-1775663.28125</v>
      </c>
      <c r="F43" s="422">
        <f t="shared" ref="F43:G43" si="30">F41+F10</f>
        <v>0</v>
      </c>
      <c r="G43" s="422">
        <f t="shared" si="30"/>
        <v>-1775663.28125</v>
      </c>
      <c r="H43" s="422">
        <f>H41+H10</f>
        <v>-1886642.236328125</v>
      </c>
      <c r="I43" s="393">
        <f>I41+I10</f>
        <v>-2004557.3760986328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&amp;L&amp;A&amp;RPage &amp;P</oddFooter>
  </headerFooter>
  <legacy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11"/>
  <sheetViews>
    <sheetView view="pageBreakPreview" topLeftCell="A7" zoomScale="60" zoomScaleNormal="180" workbookViewId="0">
      <selection activeCell="G7" sqref="G7"/>
    </sheetView>
  </sheetViews>
  <sheetFormatPr defaultColWidth="9.28515625" defaultRowHeight="15" x14ac:dyDescent="0.25"/>
  <cols>
    <col min="1" max="1" width="27.42578125" style="97" customWidth="1"/>
    <col min="2" max="2" width="15" style="152" hidden="1" customWidth="1"/>
    <col min="3" max="7" width="17.42578125" style="152" customWidth="1"/>
    <col min="8" max="8" width="17.7109375" style="152" customWidth="1"/>
    <col min="9" max="9" width="16.140625" style="217" customWidth="1"/>
    <col min="10" max="16384" width="9.28515625" style="97"/>
  </cols>
  <sheetData>
    <row r="1" spans="1:9" s="93" customFormat="1" ht="18.75" x14ac:dyDescent="0.3">
      <c r="A1" s="142" t="s">
        <v>536</v>
      </c>
      <c r="B1" s="151"/>
      <c r="C1" s="151"/>
      <c r="D1" s="151"/>
      <c r="E1" s="151"/>
      <c r="F1" s="151"/>
      <c r="G1" s="151"/>
      <c r="H1" s="151"/>
      <c r="I1" s="365"/>
    </row>
    <row r="2" spans="1:9" s="93" customFormat="1" ht="15.75" thickBot="1" x14ac:dyDescent="0.3">
      <c r="B2" s="151"/>
      <c r="C2" s="151"/>
      <c r="D2" s="151"/>
      <c r="E2" s="151"/>
      <c r="F2" s="151"/>
      <c r="G2" s="151"/>
      <c r="H2" s="151"/>
      <c r="I2" s="365"/>
    </row>
    <row r="3" spans="1:9" s="93" customFormat="1" ht="38.25" customHeight="1" thickBot="1" x14ac:dyDescent="0.3">
      <c r="A3" s="382" t="s">
        <v>39</v>
      </c>
      <c r="B3" s="383" t="s">
        <v>393</v>
      </c>
      <c r="C3" s="605" t="s">
        <v>789</v>
      </c>
      <c r="D3" s="604" t="s">
        <v>800</v>
      </c>
      <c r="E3" s="715" t="s">
        <v>87</v>
      </c>
      <c r="F3" s="605" t="s">
        <v>164</v>
      </c>
      <c r="G3" s="605" t="s">
        <v>799</v>
      </c>
      <c r="H3" s="383" t="s">
        <v>556</v>
      </c>
      <c r="I3" s="449" t="s">
        <v>644</v>
      </c>
    </row>
    <row r="4" spans="1:9" s="93" customFormat="1" x14ac:dyDescent="0.25">
      <c r="A4" s="96" t="s">
        <v>28</v>
      </c>
      <c r="B4" s="91">
        <v>200000</v>
      </c>
      <c r="C4" s="176">
        <v>250000</v>
      </c>
      <c r="D4" s="176">
        <v>2688984</v>
      </c>
      <c r="E4" s="176">
        <f>C4-D4</f>
        <v>-2438984</v>
      </c>
      <c r="F4" s="176">
        <v>2500000</v>
      </c>
      <c r="G4" s="176">
        <f>C4+F4</f>
        <v>2750000</v>
      </c>
      <c r="H4" s="91">
        <v>180000</v>
      </c>
      <c r="I4" s="450">
        <v>150000</v>
      </c>
    </row>
    <row r="5" spans="1:9" s="93" customFormat="1" x14ac:dyDescent="0.25">
      <c r="A5" s="451" t="s">
        <v>81</v>
      </c>
      <c r="B5" s="89">
        <f>SUM(B4)</f>
        <v>200000</v>
      </c>
      <c r="C5" s="209">
        <f>SUM(C4)</f>
        <v>250000</v>
      </c>
      <c r="D5" s="209">
        <f>SUM(D4)</f>
        <v>2688984</v>
      </c>
      <c r="E5" s="209">
        <f>SUM(E4)</f>
        <v>-2438984</v>
      </c>
      <c r="F5" s="209">
        <f t="shared" ref="F5:G5" si="0">SUM(F4)</f>
        <v>2500000</v>
      </c>
      <c r="G5" s="209">
        <f t="shared" si="0"/>
        <v>2750000</v>
      </c>
      <c r="H5" s="209">
        <f>SUM(H4)</f>
        <v>180000</v>
      </c>
      <c r="I5" s="399">
        <f>SUM(I4)</f>
        <v>150000</v>
      </c>
    </row>
    <row r="6" spans="1:9" s="93" customFormat="1" x14ac:dyDescent="0.25">
      <c r="A6" s="139"/>
      <c r="B6" s="89"/>
      <c r="C6" s="209"/>
      <c r="D6" s="209"/>
      <c r="E6" s="209"/>
      <c r="F6" s="209"/>
      <c r="G6" s="209"/>
      <c r="H6" s="89"/>
      <c r="I6" s="450"/>
    </row>
    <row r="7" spans="1:9" s="93" customFormat="1" x14ac:dyDescent="0.25">
      <c r="A7" s="168" t="s">
        <v>779</v>
      </c>
      <c r="B7" s="91">
        <v>2500000</v>
      </c>
      <c r="C7" s="176">
        <v>10500000</v>
      </c>
      <c r="D7" s="176"/>
      <c r="E7" s="176">
        <f>C7-D7</f>
        <v>10500000</v>
      </c>
      <c r="F7" s="176">
        <v>0</v>
      </c>
      <c r="G7" s="176">
        <f>C7+F7</f>
        <v>10500000</v>
      </c>
      <c r="H7" s="91">
        <v>0</v>
      </c>
      <c r="I7" s="450">
        <v>0</v>
      </c>
    </row>
    <row r="8" spans="1:9" s="93" customFormat="1" x14ac:dyDescent="0.25">
      <c r="A8" s="168"/>
      <c r="B8" s="158"/>
      <c r="C8" s="176"/>
      <c r="D8" s="176"/>
      <c r="E8" s="176"/>
      <c r="F8" s="176"/>
      <c r="G8" s="176"/>
      <c r="H8" s="91"/>
      <c r="I8" s="450"/>
    </row>
    <row r="9" spans="1:9" s="93" customFormat="1" x14ac:dyDescent="0.25">
      <c r="A9" s="452" t="s">
        <v>20</v>
      </c>
      <c r="B9" s="89">
        <f>SUM(B7:B8)</f>
        <v>2500000</v>
      </c>
      <c r="C9" s="209">
        <f>SUM(C7:C8)</f>
        <v>10500000</v>
      </c>
      <c r="D9" s="209">
        <f>SUM(D7:D8)</f>
        <v>0</v>
      </c>
      <c r="E9" s="209">
        <f>SUM(E7:E8)</f>
        <v>10500000</v>
      </c>
      <c r="F9" s="209">
        <f t="shared" ref="F9:G9" si="1">SUM(F7:F8)</f>
        <v>0</v>
      </c>
      <c r="G9" s="209">
        <f t="shared" si="1"/>
        <v>10500000</v>
      </c>
      <c r="H9" s="89">
        <f>SUM(H7:H8)</f>
        <v>0</v>
      </c>
      <c r="I9" s="399">
        <f>SUM(I7:I8)</f>
        <v>0</v>
      </c>
    </row>
    <row r="10" spans="1:9" s="93" customFormat="1" x14ac:dyDescent="0.25">
      <c r="A10" s="451"/>
      <c r="B10" s="89"/>
      <c r="C10" s="209"/>
      <c r="D10" s="209"/>
      <c r="E10" s="209"/>
      <c r="F10" s="209"/>
      <c r="G10" s="209"/>
      <c r="H10" s="89"/>
      <c r="I10" s="450"/>
    </row>
    <row r="11" spans="1:9" s="93" customFormat="1" ht="15.75" thickBot="1" x14ac:dyDescent="0.3">
      <c r="A11" s="453" t="s">
        <v>44</v>
      </c>
      <c r="B11" s="391">
        <f>B5+B9</f>
        <v>2700000</v>
      </c>
      <c r="C11" s="403">
        <f>C5+C9</f>
        <v>10750000</v>
      </c>
      <c r="D11" s="403">
        <f>D5+D9</f>
        <v>2688984</v>
      </c>
      <c r="E11" s="403">
        <f>E5+E9</f>
        <v>8061016</v>
      </c>
      <c r="F11" s="403">
        <f t="shared" ref="F11:G11" si="2">F5+F9</f>
        <v>2500000</v>
      </c>
      <c r="G11" s="403">
        <f t="shared" si="2"/>
        <v>13250000</v>
      </c>
      <c r="H11" s="403">
        <f>H5+H9</f>
        <v>180000</v>
      </c>
      <c r="I11" s="401">
        <f>I5+I9</f>
        <v>150000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1" orientation="landscape" r:id="rId1"/>
  <headerFooter alignWithMargins="0">
    <oddFooter>&amp;A&amp;RPage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view="pageBreakPreview" zoomScale="60" zoomScaleNormal="100" workbookViewId="0">
      <selection activeCell="C14" sqref="C14"/>
    </sheetView>
  </sheetViews>
  <sheetFormatPr defaultColWidth="8.85546875" defaultRowHeight="15" x14ac:dyDescent="0.25"/>
  <cols>
    <col min="1" max="1" width="30.28515625" customWidth="1"/>
    <col min="2" max="2" width="0" hidden="1" customWidth="1"/>
    <col min="3" max="3" width="15.140625" customWidth="1"/>
    <col min="4" max="4" width="12.7109375" customWidth="1"/>
    <col min="6" max="6" width="15.85546875" customWidth="1"/>
    <col min="7" max="7" width="14.140625" customWidth="1"/>
    <col min="8" max="8" width="18.28515625" customWidth="1"/>
    <col min="9" max="9" width="16.42578125" customWidth="1"/>
  </cols>
  <sheetData>
    <row r="1" spans="1:9" ht="18.75" x14ac:dyDescent="0.3">
      <c r="A1" s="142" t="s">
        <v>886</v>
      </c>
      <c r="B1" s="151"/>
      <c r="C1" s="151"/>
      <c r="D1" s="151"/>
      <c r="E1" s="151"/>
      <c r="F1" s="151"/>
      <c r="G1" s="151"/>
      <c r="H1" s="151"/>
      <c r="I1" s="365"/>
    </row>
    <row r="2" spans="1:9" ht="15.75" thickBot="1" x14ac:dyDescent="0.3">
      <c r="A2" s="746"/>
      <c r="B2" s="151"/>
      <c r="C2" s="151"/>
      <c r="D2" s="151"/>
      <c r="E2" s="151"/>
      <c r="F2" s="151"/>
      <c r="G2" s="151"/>
      <c r="H2" s="151"/>
      <c r="I2" s="365"/>
    </row>
    <row r="3" spans="1:9" ht="52.5" thickBot="1" x14ac:dyDescent="0.3">
      <c r="A3" s="382" t="s">
        <v>39</v>
      </c>
      <c r="B3" s="383" t="s">
        <v>393</v>
      </c>
      <c r="C3" s="605" t="s">
        <v>789</v>
      </c>
      <c r="D3" s="761" t="s">
        <v>800</v>
      </c>
      <c r="E3" s="779" t="s">
        <v>87</v>
      </c>
      <c r="F3" s="605" t="s">
        <v>164</v>
      </c>
      <c r="G3" s="605" t="s">
        <v>799</v>
      </c>
      <c r="H3" s="383" t="s">
        <v>556</v>
      </c>
      <c r="I3" s="449" t="s">
        <v>644</v>
      </c>
    </row>
    <row r="4" spans="1:9" x14ac:dyDescent="0.25">
      <c r="A4" s="747" t="s">
        <v>31</v>
      </c>
      <c r="B4" s="91">
        <v>200000</v>
      </c>
      <c r="C4" s="176">
        <v>0</v>
      </c>
      <c r="D4" s="176">
        <v>0</v>
      </c>
      <c r="E4" s="176">
        <f>C4-D4</f>
        <v>0</v>
      </c>
      <c r="F4" s="176">
        <v>100000</v>
      </c>
      <c r="G4" s="176">
        <f>C4+F4</f>
        <v>100000</v>
      </c>
      <c r="H4" s="91">
        <v>0</v>
      </c>
      <c r="I4" s="450">
        <v>0</v>
      </c>
    </row>
    <row r="5" spans="1:9" x14ac:dyDescent="0.25">
      <c r="A5" s="451" t="s">
        <v>81</v>
      </c>
      <c r="B5" s="89">
        <f>SUM(B4)</f>
        <v>200000</v>
      </c>
      <c r="C5" s="209">
        <f>SUM(C4)</f>
        <v>0</v>
      </c>
      <c r="D5" s="209">
        <f>SUM(D4)</f>
        <v>0</v>
      </c>
      <c r="E5" s="209">
        <f>SUM(E4)</f>
        <v>0</v>
      </c>
      <c r="F5" s="209">
        <f t="shared" ref="F5:G5" si="0">SUM(F4)</f>
        <v>100000</v>
      </c>
      <c r="G5" s="209">
        <f t="shared" si="0"/>
        <v>100000</v>
      </c>
      <c r="H5" s="209">
        <f>SUM(H4)</f>
        <v>0</v>
      </c>
      <c r="I5" s="399">
        <f>SUM(I4)</f>
        <v>0</v>
      </c>
    </row>
    <row r="6" spans="1:9" ht="15.75" thickBot="1" x14ac:dyDescent="0.3">
      <c r="A6" s="453" t="s">
        <v>44</v>
      </c>
      <c r="B6" s="391">
        <f>B5</f>
        <v>200000</v>
      </c>
      <c r="C6" s="391">
        <f t="shared" ref="C6:I6" si="1">C5</f>
        <v>0</v>
      </c>
      <c r="D6" s="391">
        <f t="shared" si="1"/>
        <v>0</v>
      </c>
      <c r="E6" s="391">
        <f t="shared" si="1"/>
        <v>0</v>
      </c>
      <c r="F6" s="391">
        <f t="shared" si="1"/>
        <v>100000</v>
      </c>
      <c r="G6" s="391">
        <f t="shared" si="1"/>
        <v>100000</v>
      </c>
      <c r="H6" s="391">
        <f t="shared" si="1"/>
        <v>0</v>
      </c>
      <c r="I6" s="391">
        <f t="shared" si="1"/>
        <v>0</v>
      </c>
    </row>
  </sheetData>
  <pageMargins left="0.7" right="0.7" top="0.75" bottom="0.75" header="0.3" footer="0.3"/>
  <pageSetup paperSize="9" scale="99" fitToHeight="0" orientation="landscape"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I18"/>
  <sheetViews>
    <sheetView view="pageBreakPreview" topLeftCell="A2" zoomScale="60" zoomScaleNormal="100" workbookViewId="0">
      <selection activeCell="A21" sqref="A21"/>
    </sheetView>
  </sheetViews>
  <sheetFormatPr defaultColWidth="9.28515625" defaultRowHeight="15" x14ac:dyDescent="0.25"/>
  <cols>
    <col min="1" max="1" width="34.7109375" style="493" customWidth="1"/>
    <col min="2" max="2" width="12.42578125" style="247" hidden="1" customWidth="1"/>
    <col min="3" max="7" width="16.28515625" style="247" customWidth="1"/>
    <col min="8" max="8" width="16.7109375" style="247" customWidth="1"/>
    <col min="9" max="9" width="15.42578125" style="587" customWidth="1"/>
    <col min="10" max="16384" width="9.28515625" style="352"/>
  </cols>
  <sheetData>
    <row r="1" spans="1:9" ht="18.75" x14ac:dyDescent="0.3">
      <c r="A1" s="515" t="s">
        <v>502</v>
      </c>
      <c r="B1" s="243"/>
      <c r="C1" s="243"/>
      <c r="D1" s="243"/>
      <c r="E1" s="243"/>
      <c r="F1" s="243"/>
      <c r="G1" s="243"/>
      <c r="H1" s="243"/>
    </row>
    <row r="2" spans="1:9" ht="15.75" thickBot="1" x14ac:dyDescent="0.3">
      <c r="A2" s="252"/>
      <c r="B2" s="243"/>
      <c r="C2" s="243"/>
      <c r="D2" s="243"/>
      <c r="E2" s="243"/>
      <c r="F2" s="243"/>
      <c r="G2" s="243"/>
      <c r="H2" s="243"/>
    </row>
    <row r="3" spans="1:9" s="272" customFormat="1" ht="43.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584" t="s">
        <v>644</v>
      </c>
    </row>
    <row r="4" spans="1:9" s="272" customFormat="1" x14ac:dyDescent="0.25">
      <c r="A4" s="271"/>
      <c r="B4" s="158"/>
      <c r="C4" s="158"/>
      <c r="D4" s="158"/>
      <c r="E4" s="158"/>
      <c r="F4" s="158"/>
      <c r="G4" s="158"/>
      <c r="H4" s="158"/>
      <c r="I4" s="423"/>
    </row>
    <row r="5" spans="1:9" s="272" customFormat="1" x14ac:dyDescent="0.25">
      <c r="A5" s="271" t="s">
        <v>738</v>
      </c>
      <c r="B5" s="158">
        <v>0</v>
      </c>
      <c r="C5" s="158">
        <v>1000000</v>
      </c>
      <c r="D5" s="158"/>
      <c r="E5" s="158">
        <f>C5-D5</f>
        <v>1000000</v>
      </c>
      <c r="F5" s="158">
        <v>-1000000</v>
      </c>
      <c r="G5" s="158">
        <f>C5+F5</f>
        <v>0</v>
      </c>
      <c r="H5" s="158">
        <v>2500000</v>
      </c>
      <c r="I5" s="423">
        <v>3000000</v>
      </c>
    </row>
    <row r="6" spans="1:9" s="272" customFormat="1" x14ac:dyDescent="0.25">
      <c r="A6" s="271" t="s">
        <v>465</v>
      </c>
      <c r="B6" s="158">
        <v>0</v>
      </c>
      <c r="C6" s="158">
        <v>250000</v>
      </c>
      <c r="D6" s="158"/>
      <c r="E6" s="158">
        <f t="shared" ref="E6:E10" si="0">C6-D6</f>
        <v>250000</v>
      </c>
      <c r="F6" s="158">
        <v>-250000</v>
      </c>
      <c r="G6" s="158">
        <f t="shared" ref="G6:G10" si="1">C6+F6</f>
        <v>0</v>
      </c>
      <c r="H6" s="158">
        <v>280000</v>
      </c>
      <c r="I6" s="423">
        <v>300000</v>
      </c>
    </row>
    <row r="7" spans="1:9" s="272" customFormat="1" x14ac:dyDescent="0.25">
      <c r="A7" s="578" t="s">
        <v>578</v>
      </c>
      <c r="B7" s="158">
        <v>0</v>
      </c>
      <c r="C7" s="158">
        <v>250000</v>
      </c>
      <c r="D7" s="158"/>
      <c r="E7" s="158">
        <f t="shared" si="0"/>
        <v>250000</v>
      </c>
      <c r="F7" s="158">
        <v>-250000</v>
      </c>
      <c r="G7" s="158">
        <f t="shared" si="1"/>
        <v>0</v>
      </c>
      <c r="H7" s="158">
        <v>120000</v>
      </c>
      <c r="I7" s="423"/>
    </row>
    <row r="8" spans="1:9" s="272" customFormat="1" x14ac:dyDescent="0.25">
      <c r="A8" s="578" t="s">
        <v>739</v>
      </c>
      <c r="B8" s="158">
        <v>0</v>
      </c>
      <c r="C8" s="158">
        <v>1200000</v>
      </c>
      <c r="D8" s="158"/>
      <c r="E8" s="158">
        <f t="shared" si="0"/>
        <v>1200000</v>
      </c>
      <c r="F8" s="158">
        <v>-1200000</v>
      </c>
      <c r="G8" s="158">
        <f t="shared" si="1"/>
        <v>0</v>
      </c>
      <c r="H8" s="158">
        <v>5000000</v>
      </c>
      <c r="I8" s="423">
        <v>100000</v>
      </c>
    </row>
    <row r="9" spans="1:9" s="272" customFormat="1" x14ac:dyDescent="0.25">
      <c r="A9" s="578" t="s">
        <v>246</v>
      </c>
      <c r="B9" s="158">
        <v>2500000</v>
      </c>
      <c r="C9" s="158">
        <v>1400000</v>
      </c>
      <c r="D9" s="158"/>
      <c r="E9" s="158">
        <f t="shared" si="0"/>
        <v>1400000</v>
      </c>
      <c r="F9" s="158">
        <v>750000</v>
      </c>
      <c r="G9" s="158">
        <f t="shared" si="1"/>
        <v>2150000</v>
      </c>
      <c r="H9" s="158">
        <v>4750000</v>
      </c>
      <c r="I9" s="423">
        <v>4750000</v>
      </c>
    </row>
    <row r="10" spans="1:9" s="272" customFormat="1" x14ac:dyDescent="0.25">
      <c r="A10" s="253" t="s">
        <v>614</v>
      </c>
      <c r="B10" s="254">
        <v>150000</v>
      </c>
      <c r="C10" s="254">
        <v>270000</v>
      </c>
      <c r="D10" s="254"/>
      <c r="E10" s="158">
        <f t="shared" si="0"/>
        <v>270000</v>
      </c>
      <c r="F10" s="158">
        <v>-270000</v>
      </c>
      <c r="G10" s="158">
        <f t="shared" si="1"/>
        <v>0</v>
      </c>
      <c r="H10" s="254">
        <v>290000</v>
      </c>
      <c r="I10" s="423">
        <v>290000</v>
      </c>
    </row>
    <row r="11" spans="1:9" s="272" customFormat="1" x14ac:dyDescent="0.25">
      <c r="A11" s="588" t="s">
        <v>245</v>
      </c>
      <c r="B11" s="245">
        <f>SUM(B4:B10)</f>
        <v>2650000</v>
      </c>
      <c r="C11" s="245">
        <f>SUM(C4:C10)</f>
        <v>4370000</v>
      </c>
      <c r="D11" s="245">
        <f>SUM(D4:D10)</f>
        <v>0</v>
      </c>
      <c r="E11" s="245">
        <f>SUM(E4:E10)</f>
        <v>4370000</v>
      </c>
      <c r="F11" s="245">
        <f t="shared" ref="F11:G11" si="2">SUM(F4:F10)</f>
        <v>-2220000</v>
      </c>
      <c r="G11" s="245">
        <f t="shared" si="2"/>
        <v>2150000</v>
      </c>
      <c r="H11" s="245">
        <f>SUM(H4:H10)</f>
        <v>12940000</v>
      </c>
      <c r="I11" s="454">
        <f>SUM(I4:I10)</f>
        <v>8440000</v>
      </c>
    </row>
    <row r="12" spans="1:9" s="272" customFormat="1" x14ac:dyDescent="0.25">
      <c r="A12" s="580"/>
      <c r="B12" s="245"/>
      <c r="C12" s="245"/>
      <c r="D12" s="245"/>
      <c r="E12" s="245"/>
      <c r="F12" s="245"/>
      <c r="G12" s="245"/>
      <c r="H12" s="246"/>
      <c r="I12" s="423"/>
    </row>
    <row r="13" spans="1:9" s="93" customFormat="1" x14ac:dyDescent="0.25">
      <c r="A13" s="96" t="s">
        <v>430</v>
      </c>
      <c r="B13" s="91">
        <f>3500000+200000</f>
        <v>3700000</v>
      </c>
      <c r="C13" s="91">
        <v>12000000</v>
      </c>
      <c r="D13" s="91"/>
      <c r="E13" s="158">
        <f t="shared" ref="E13:E15" si="3">C13-D13</f>
        <v>12000000</v>
      </c>
      <c r="F13" s="158">
        <v>1000000</v>
      </c>
      <c r="G13" s="158">
        <f t="shared" ref="G13:G15" si="4">C13+F13</f>
        <v>13000000</v>
      </c>
      <c r="H13" s="91">
        <v>0</v>
      </c>
      <c r="I13" s="450">
        <v>15000000</v>
      </c>
    </row>
    <row r="14" spans="1:9" s="272" customFormat="1" x14ac:dyDescent="0.25">
      <c r="A14" s="253" t="s">
        <v>615</v>
      </c>
      <c r="B14" s="254">
        <v>0</v>
      </c>
      <c r="C14" s="254">
        <v>1500000</v>
      </c>
      <c r="D14" s="254"/>
      <c r="E14" s="158">
        <f t="shared" si="3"/>
        <v>1500000</v>
      </c>
      <c r="F14" s="158">
        <v>-1500000</v>
      </c>
      <c r="G14" s="158">
        <f t="shared" si="4"/>
        <v>0</v>
      </c>
      <c r="H14" s="254">
        <v>0</v>
      </c>
      <c r="I14" s="423">
        <v>0</v>
      </c>
    </row>
    <row r="15" spans="1:9" s="272" customFormat="1" x14ac:dyDescent="0.25">
      <c r="A15" s="253" t="s">
        <v>414</v>
      </c>
      <c r="B15" s="158">
        <v>0</v>
      </c>
      <c r="C15" s="158">
        <v>1800000</v>
      </c>
      <c r="D15" s="158"/>
      <c r="E15" s="158">
        <f t="shared" si="3"/>
        <v>1800000</v>
      </c>
      <c r="F15" s="158">
        <v>1500000</v>
      </c>
      <c r="G15" s="158">
        <f t="shared" si="4"/>
        <v>3300000</v>
      </c>
      <c r="H15" s="158">
        <v>0</v>
      </c>
      <c r="I15" s="423">
        <v>0</v>
      </c>
    </row>
    <row r="16" spans="1:9" s="272" customFormat="1" x14ac:dyDescent="0.25">
      <c r="A16" s="589" t="s">
        <v>84</v>
      </c>
      <c r="B16" s="246">
        <f>SUM(B13:B15)</f>
        <v>3700000</v>
      </c>
      <c r="C16" s="246">
        <f>SUM(C13:C15)</f>
        <v>15300000</v>
      </c>
      <c r="D16" s="246">
        <f>SUM(D13:D15)</f>
        <v>0</v>
      </c>
      <c r="E16" s="246">
        <f>SUM(E13:E15)</f>
        <v>15300000</v>
      </c>
      <c r="F16" s="246">
        <f t="shared" ref="F16:G16" si="5">SUM(F13:F15)</f>
        <v>1000000</v>
      </c>
      <c r="G16" s="246">
        <f t="shared" si="5"/>
        <v>16300000</v>
      </c>
      <c r="H16" s="246">
        <f>SUM(H13:H15)</f>
        <v>0</v>
      </c>
      <c r="I16" s="387">
        <f>SUM(I13:I15)</f>
        <v>15000000</v>
      </c>
    </row>
    <row r="17" spans="1:9" s="272" customFormat="1" x14ac:dyDescent="0.25">
      <c r="A17" s="590"/>
      <c r="B17" s="246"/>
      <c r="C17" s="246"/>
      <c r="D17" s="246"/>
      <c r="E17" s="246"/>
      <c r="F17" s="246"/>
      <c r="G17" s="246"/>
      <c r="H17" s="246"/>
      <c r="I17" s="423"/>
    </row>
    <row r="18" spans="1:9" s="272" customFormat="1" ht="15.75" thickBot="1" x14ac:dyDescent="0.3">
      <c r="A18" s="426" t="s">
        <v>44</v>
      </c>
      <c r="B18" s="392">
        <f>B11+B16</f>
        <v>6350000</v>
      </c>
      <c r="C18" s="392">
        <f>C11+C16</f>
        <v>19670000</v>
      </c>
      <c r="D18" s="392">
        <f>D11+D16</f>
        <v>0</v>
      </c>
      <c r="E18" s="392">
        <f>E11+E16</f>
        <v>19670000</v>
      </c>
      <c r="F18" s="392">
        <f t="shared" ref="F18:G18" si="6">F11+F16</f>
        <v>-1220000</v>
      </c>
      <c r="G18" s="392">
        <f t="shared" si="6"/>
        <v>18450000</v>
      </c>
      <c r="H18" s="392">
        <f>H11+H16</f>
        <v>12940000</v>
      </c>
      <c r="I18" s="393">
        <f>I11+I16</f>
        <v>23440000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1" orientation="landscape" r:id="rId1"/>
  <headerFooter alignWithMargins="0">
    <oddFooter>&amp;A&amp;RPage &amp;P</oddFooter>
  </headerFooter>
  <legacy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I15"/>
  <sheetViews>
    <sheetView view="pageBreakPreview" zoomScale="60" zoomScaleNormal="100" workbookViewId="0">
      <selection activeCell="H20" sqref="H20"/>
    </sheetView>
  </sheetViews>
  <sheetFormatPr defaultColWidth="9.28515625" defaultRowHeight="15" x14ac:dyDescent="0.25"/>
  <cols>
    <col min="1" max="1" width="35.42578125" style="169" customWidth="1"/>
    <col min="2" max="2" width="13.7109375" style="152" hidden="1" customWidth="1"/>
    <col min="3" max="7" width="17.42578125" style="152" customWidth="1"/>
    <col min="8" max="8" width="17.7109375" style="152" customWidth="1"/>
    <col min="9" max="9" width="15.85546875" style="217" customWidth="1"/>
    <col min="10" max="16384" width="9.28515625" style="97"/>
  </cols>
  <sheetData>
    <row r="1" spans="1:9" x14ac:dyDescent="0.25">
      <c r="A1" s="156"/>
      <c r="B1" s="150"/>
      <c r="C1" s="150"/>
      <c r="D1" s="150"/>
      <c r="E1" s="150"/>
      <c r="F1" s="150"/>
      <c r="G1" s="150"/>
      <c r="H1" s="150"/>
    </row>
    <row r="2" spans="1:9" ht="18.75" x14ac:dyDescent="0.3">
      <c r="A2" s="142" t="s">
        <v>503</v>
      </c>
      <c r="B2" s="151"/>
      <c r="C2" s="151"/>
      <c r="D2" s="151"/>
      <c r="E2" s="151"/>
      <c r="F2" s="151"/>
      <c r="G2" s="151"/>
      <c r="H2" s="151"/>
    </row>
    <row r="3" spans="1:9" ht="15.75" thickBot="1" x14ac:dyDescent="0.3">
      <c r="A3" s="92"/>
      <c r="B3" s="151"/>
      <c r="C3" s="151"/>
      <c r="D3" s="151"/>
      <c r="E3" s="151"/>
      <c r="F3" s="151"/>
      <c r="G3" s="151"/>
      <c r="H3" s="151"/>
    </row>
    <row r="4" spans="1:9" s="93" customFormat="1" ht="41.25" customHeight="1" thickBot="1" x14ac:dyDescent="0.3">
      <c r="A4" s="228" t="s">
        <v>39</v>
      </c>
      <c r="B4" s="227" t="s">
        <v>393</v>
      </c>
      <c r="C4" s="227" t="s">
        <v>442</v>
      </c>
      <c r="D4" s="604" t="s">
        <v>800</v>
      </c>
      <c r="E4" s="715" t="s">
        <v>87</v>
      </c>
      <c r="F4" s="384" t="s">
        <v>164</v>
      </c>
      <c r="G4" s="605" t="s">
        <v>789</v>
      </c>
      <c r="H4" s="227" t="s">
        <v>556</v>
      </c>
      <c r="I4" s="350" t="s">
        <v>644</v>
      </c>
    </row>
    <row r="5" spans="1:9" s="93" customFormat="1" ht="0.75" hidden="1" customHeight="1" x14ac:dyDescent="0.25">
      <c r="A5" s="88" t="s">
        <v>306</v>
      </c>
      <c r="B5" s="91"/>
      <c r="C5" s="91"/>
      <c r="D5" s="176"/>
      <c r="E5" s="176"/>
      <c r="F5" s="176"/>
      <c r="G5" s="176"/>
      <c r="H5" s="176"/>
      <c r="I5" s="365"/>
    </row>
    <row r="6" spans="1:9" s="93" customFormat="1" ht="21" hidden="1" customHeight="1" x14ac:dyDescent="0.25">
      <c r="A6" s="88"/>
      <c r="B6" s="91"/>
      <c r="C6" s="91"/>
      <c r="D6" s="176"/>
      <c r="E6" s="176"/>
      <c r="F6" s="176"/>
      <c r="G6" s="176"/>
      <c r="H6" s="176"/>
      <c r="I6" s="365"/>
    </row>
    <row r="7" spans="1:9" s="93" customFormat="1" ht="18" hidden="1" customHeight="1" x14ac:dyDescent="0.25">
      <c r="A7" s="139"/>
      <c r="B7" s="89">
        <f>SUM(B5:B6)</f>
        <v>0</v>
      </c>
      <c r="C7" s="89">
        <f>SUM(C5:C6)</f>
        <v>0</v>
      </c>
      <c r="D7" s="209"/>
      <c r="E7" s="209"/>
      <c r="F7" s="209"/>
      <c r="G7" s="209"/>
      <c r="H7" s="209">
        <f>SUM(H5:H6)</f>
        <v>0</v>
      </c>
      <c r="I7" s="365"/>
    </row>
    <row r="8" spans="1:9" s="92" customFormat="1" x14ac:dyDescent="0.25">
      <c r="A8" s="88" t="s">
        <v>737</v>
      </c>
      <c r="B8" s="91"/>
      <c r="C8" s="158">
        <v>2200000</v>
      </c>
      <c r="D8" s="158"/>
      <c r="E8" s="158">
        <f>C8-D8</f>
        <v>2200000</v>
      </c>
      <c r="F8" s="158">
        <v>-2200000</v>
      </c>
      <c r="G8" s="158">
        <f>C8+F8</f>
        <v>0</v>
      </c>
      <c r="H8" s="158">
        <v>1500000</v>
      </c>
      <c r="I8" s="158">
        <v>3500000</v>
      </c>
    </row>
    <row r="9" spans="1:9" s="93" customFormat="1" x14ac:dyDescent="0.25">
      <c r="A9" s="147" t="s">
        <v>307</v>
      </c>
      <c r="B9" s="89" t="e">
        <f>SUM(#REF!)</f>
        <v>#REF!</v>
      </c>
      <c r="C9" s="89">
        <f t="shared" ref="C9:I9" si="0">SUM(C8:C8)</f>
        <v>2200000</v>
      </c>
      <c r="D9" s="89">
        <f t="shared" si="0"/>
        <v>0</v>
      </c>
      <c r="E9" s="89">
        <f t="shared" si="0"/>
        <v>2200000</v>
      </c>
      <c r="F9" s="89">
        <f t="shared" si="0"/>
        <v>-2200000</v>
      </c>
      <c r="G9" s="89">
        <f t="shared" si="0"/>
        <v>0</v>
      </c>
      <c r="H9" s="89">
        <f t="shared" si="0"/>
        <v>1500000</v>
      </c>
      <c r="I9" s="89">
        <f t="shared" si="0"/>
        <v>3500000</v>
      </c>
    </row>
    <row r="10" spans="1:9" s="93" customFormat="1" x14ac:dyDescent="0.25">
      <c r="A10" s="139"/>
      <c r="B10" s="89"/>
      <c r="C10" s="89"/>
      <c r="D10" s="89"/>
      <c r="E10" s="89"/>
      <c r="F10" s="89"/>
      <c r="G10" s="89"/>
      <c r="H10" s="89"/>
      <c r="I10" s="203"/>
    </row>
    <row r="11" spans="1:9" s="93" customFormat="1" x14ac:dyDescent="0.25">
      <c r="A11" s="88" t="s">
        <v>590</v>
      </c>
      <c r="B11" s="91">
        <v>0</v>
      </c>
      <c r="C11" s="158">
        <v>0</v>
      </c>
      <c r="D11" s="158"/>
      <c r="E11" s="158"/>
      <c r="F11" s="158"/>
      <c r="G11" s="158"/>
      <c r="H11" s="158">
        <v>100000</v>
      </c>
      <c r="I11" s="373">
        <v>100000</v>
      </c>
    </row>
    <row r="12" spans="1:9" s="93" customFormat="1" ht="30" x14ac:dyDescent="0.25">
      <c r="A12" s="174" t="s">
        <v>728</v>
      </c>
      <c r="B12" s="91"/>
      <c r="C12" s="158">
        <v>1450000</v>
      </c>
      <c r="D12" s="158"/>
      <c r="E12" s="158">
        <f>C12-D12</f>
        <v>1450000</v>
      </c>
      <c r="F12" s="158">
        <v>-1450000</v>
      </c>
      <c r="G12" s="158">
        <f>C12+F12</f>
        <v>0</v>
      </c>
      <c r="H12" s="158">
        <v>750000</v>
      </c>
      <c r="I12" s="373">
        <v>510000</v>
      </c>
    </row>
    <row r="13" spans="1:9" s="93" customFormat="1" x14ac:dyDescent="0.25">
      <c r="A13" s="147" t="s">
        <v>624</v>
      </c>
      <c r="B13" s="89">
        <f>SUM(B11:B11)</f>
        <v>0</v>
      </c>
      <c r="C13" s="89">
        <f>SUM(C11:C12)</f>
        <v>1450000</v>
      </c>
      <c r="D13" s="89">
        <f>SUM(D11:D12)</f>
        <v>0</v>
      </c>
      <c r="E13" s="89">
        <f>SUM(E11:E12)</f>
        <v>1450000</v>
      </c>
      <c r="F13" s="89">
        <f t="shared" ref="F13:G13" si="1">SUM(F11:F12)</f>
        <v>-1450000</v>
      </c>
      <c r="G13" s="89">
        <f t="shared" si="1"/>
        <v>0</v>
      </c>
      <c r="H13" s="89">
        <f>SUM(H11:H12)</f>
        <v>850000</v>
      </c>
      <c r="I13" s="89">
        <f>SUM(I11:I12)</f>
        <v>610000</v>
      </c>
    </row>
    <row r="14" spans="1:9" s="93" customFormat="1" x14ac:dyDescent="0.25">
      <c r="A14" s="147"/>
      <c r="B14" s="89"/>
      <c r="C14" s="89"/>
      <c r="D14" s="89"/>
      <c r="E14" s="89"/>
      <c r="F14" s="89"/>
      <c r="G14" s="89"/>
      <c r="H14" s="89"/>
      <c r="I14" s="203"/>
    </row>
    <row r="15" spans="1:9" s="93" customFormat="1" x14ac:dyDescent="0.25">
      <c r="A15" s="139" t="s">
        <v>44</v>
      </c>
      <c r="B15" s="89" t="e">
        <f t="shared" ref="B15:I15" si="2">B7+B9+B13</f>
        <v>#REF!</v>
      </c>
      <c r="C15" s="89">
        <f t="shared" si="2"/>
        <v>3650000</v>
      </c>
      <c r="D15" s="89">
        <f t="shared" si="2"/>
        <v>0</v>
      </c>
      <c r="E15" s="89">
        <f t="shared" si="2"/>
        <v>3650000</v>
      </c>
      <c r="F15" s="89">
        <f t="shared" si="2"/>
        <v>-3650000</v>
      </c>
      <c r="G15" s="89">
        <f t="shared" si="2"/>
        <v>0</v>
      </c>
      <c r="H15" s="89">
        <f t="shared" si="2"/>
        <v>2350000</v>
      </c>
      <c r="I15" s="89">
        <f t="shared" si="2"/>
        <v>4110000</v>
      </c>
    </row>
  </sheetData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&amp;A&amp;RPage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I11"/>
  <sheetViews>
    <sheetView view="pageBreakPreview" zoomScale="60" zoomScaleNormal="100" workbookViewId="0">
      <selection activeCell="I16" sqref="I16"/>
    </sheetView>
  </sheetViews>
  <sheetFormatPr defaultColWidth="9.28515625" defaultRowHeight="15" x14ac:dyDescent="0.25"/>
  <cols>
    <col min="1" max="1" width="34.85546875" style="169" customWidth="1"/>
    <col min="2" max="2" width="14.7109375" style="247" hidden="1" customWidth="1"/>
    <col min="3" max="7" width="16.42578125" style="152" customWidth="1"/>
    <col min="8" max="8" width="17.42578125" style="152" customWidth="1"/>
    <col min="9" max="9" width="17" style="217" customWidth="1"/>
    <col min="10" max="16384" width="9.28515625" style="97"/>
  </cols>
  <sheetData>
    <row r="1" spans="1:9" s="93" customFormat="1" x14ac:dyDescent="0.25">
      <c r="A1" s="156"/>
      <c r="B1" s="242"/>
      <c r="C1" s="150"/>
      <c r="D1" s="150"/>
      <c r="E1" s="150"/>
      <c r="F1" s="150"/>
      <c r="G1" s="150"/>
      <c r="H1" s="150"/>
      <c r="I1" s="365"/>
    </row>
    <row r="2" spans="1:9" s="93" customFormat="1" ht="18.75" x14ac:dyDescent="0.3">
      <c r="A2" s="142" t="s">
        <v>83</v>
      </c>
      <c r="B2" s="243"/>
      <c r="C2" s="151"/>
      <c r="D2" s="151"/>
      <c r="E2" s="151"/>
      <c r="F2" s="151"/>
      <c r="G2" s="151"/>
      <c r="H2" s="151"/>
      <c r="I2" s="365"/>
    </row>
    <row r="3" spans="1:9" s="93" customFormat="1" ht="15.75" thickBot="1" x14ac:dyDescent="0.3">
      <c r="A3" s="92"/>
      <c r="B3" s="243"/>
      <c r="C3" s="151"/>
      <c r="D3" s="151"/>
      <c r="E3" s="151"/>
      <c r="F3" s="151"/>
      <c r="G3" s="151"/>
      <c r="H3" s="151"/>
      <c r="I3" s="365"/>
    </row>
    <row r="4" spans="1:9" s="93" customFormat="1" ht="49.5" customHeight="1" thickBot="1" x14ac:dyDescent="0.3">
      <c r="A4" s="228" t="s">
        <v>39</v>
      </c>
      <c r="B4" s="244" t="s">
        <v>393</v>
      </c>
      <c r="C4" s="207" t="s">
        <v>442</v>
      </c>
      <c r="D4" s="604" t="s">
        <v>800</v>
      </c>
      <c r="E4" s="715" t="s">
        <v>87</v>
      </c>
      <c r="F4" s="384" t="s">
        <v>164</v>
      </c>
      <c r="G4" s="605" t="s">
        <v>789</v>
      </c>
      <c r="H4" s="207" t="s">
        <v>556</v>
      </c>
      <c r="I4" s="350" t="s">
        <v>644</v>
      </c>
    </row>
    <row r="5" spans="1:9" s="272" customFormat="1" x14ac:dyDescent="0.25">
      <c r="A5" s="271" t="s">
        <v>455</v>
      </c>
      <c r="B5" s="158">
        <v>900000</v>
      </c>
      <c r="C5" s="372">
        <v>1198000</v>
      </c>
      <c r="D5" s="372">
        <v>1068541.71</v>
      </c>
      <c r="E5" s="372">
        <f>C5-D5</f>
        <v>129458.29000000004</v>
      </c>
      <c r="F5" s="372">
        <v>0</v>
      </c>
      <c r="G5" s="372">
        <f>C5+F5</f>
        <v>1198000</v>
      </c>
      <c r="H5" s="158">
        <v>0</v>
      </c>
      <c r="I5" s="373">
        <v>0</v>
      </c>
    </row>
    <row r="6" spans="1:9" s="93" customFormat="1" x14ac:dyDescent="0.25">
      <c r="A6" s="88" t="s">
        <v>757</v>
      </c>
      <c r="B6" s="158">
        <v>0</v>
      </c>
      <c r="C6" s="372">
        <v>1000000</v>
      </c>
      <c r="D6" s="372"/>
      <c r="E6" s="372">
        <f>C6-D6</f>
        <v>1000000</v>
      </c>
      <c r="F6" s="372">
        <v>0</v>
      </c>
      <c r="G6" s="372">
        <f>C6+F6</f>
        <v>1000000</v>
      </c>
      <c r="H6" s="158">
        <v>500000</v>
      </c>
      <c r="I6" s="373">
        <v>2500000</v>
      </c>
    </row>
    <row r="7" spans="1:9" s="93" customFormat="1" x14ac:dyDescent="0.25">
      <c r="A7" s="147" t="s">
        <v>82</v>
      </c>
      <c r="B7" s="246">
        <f t="shared" ref="B7:I7" si="0">SUM(B5:B6)</f>
        <v>900000</v>
      </c>
      <c r="C7" s="89">
        <f t="shared" si="0"/>
        <v>2198000</v>
      </c>
      <c r="D7" s="89">
        <f t="shared" si="0"/>
        <v>1068541.71</v>
      </c>
      <c r="E7" s="89">
        <f t="shared" si="0"/>
        <v>1129458.29</v>
      </c>
      <c r="F7" s="89">
        <f t="shared" si="0"/>
        <v>0</v>
      </c>
      <c r="G7" s="89">
        <f t="shared" si="0"/>
        <v>2198000</v>
      </c>
      <c r="H7" s="89">
        <f t="shared" si="0"/>
        <v>500000</v>
      </c>
      <c r="I7" s="89">
        <f t="shared" si="0"/>
        <v>2500000</v>
      </c>
    </row>
    <row r="8" spans="1:9" x14ac:dyDescent="0.25">
      <c r="A8" s="139"/>
      <c r="B8" s="246"/>
      <c r="C8" s="89"/>
      <c r="D8" s="89"/>
      <c r="E8" s="89"/>
      <c r="F8" s="89"/>
      <c r="G8" s="89"/>
      <c r="H8" s="89"/>
      <c r="I8" s="203"/>
    </row>
    <row r="9" spans="1:9" x14ac:dyDescent="0.25">
      <c r="A9" s="139" t="s">
        <v>44</v>
      </c>
      <c r="B9" s="246">
        <f>B7</f>
        <v>900000</v>
      </c>
      <c r="C9" s="89">
        <f>C7</f>
        <v>2198000</v>
      </c>
      <c r="D9" s="89">
        <f>D7</f>
        <v>1068541.71</v>
      </c>
      <c r="E9" s="89">
        <f>E7</f>
        <v>1129458.29</v>
      </c>
      <c r="F9" s="89">
        <f t="shared" ref="F9:G9" si="1">F7</f>
        <v>0</v>
      </c>
      <c r="G9" s="89">
        <f t="shared" si="1"/>
        <v>2198000</v>
      </c>
      <c r="H9" s="89">
        <f>H7</f>
        <v>500000</v>
      </c>
      <c r="I9" s="89">
        <f>I7</f>
        <v>2500000</v>
      </c>
    </row>
    <row r="10" spans="1:9" x14ac:dyDescent="0.25">
      <c r="A10" s="156"/>
      <c r="B10" s="242"/>
      <c r="C10" s="150"/>
      <c r="D10" s="150"/>
      <c r="E10" s="150"/>
      <c r="F10" s="150"/>
      <c r="G10" s="150"/>
      <c r="H10" s="150"/>
    </row>
    <row r="11" spans="1:9" x14ac:dyDescent="0.25">
      <c r="A11" s="156"/>
      <c r="B11" s="242"/>
      <c r="C11" s="150"/>
      <c r="D11" s="150"/>
      <c r="E11" s="150"/>
      <c r="F11" s="150"/>
      <c r="G11" s="150"/>
      <c r="H11" s="150"/>
    </row>
  </sheetData>
  <phoneticPr fontId="8" type="noConversion"/>
  <pageMargins left="0.74803149606299202" right="0.74803149606299202" top="0.98425196850393704" bottom="0.98425196850393704" header="0.511811023622047" footer="0.511811023622047"/>
  <pageSetup scale="80" orientation="landscape" r:id="rId1"/>
  <headerFooter alignWithMargins="0">
    <oddFooter>&amp;A&amp;RPage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/>
  <dimension ref="A1:K34"/>
  <sheetViews>
    <sheetView topLeftCell="A7" zoomScale="85" zoomScaleNormal="85" zoomScaleSheetLayoutView="85" workbookViewId="0">
      <selection activeCell="B48" sqref="B48"/>
    </sheetView>
  </sheetViews>
  <sheetFormatPr defaultColWidth="8.85546875" defaultRowHeight="15" x14ac:dyDescent="0.25"/>
  <cols>
    <col min="1" max="1" width="27.7109375" style="282" customWidth="1"/>
    <col min="2" max="2" width="16.42578125" style="104" customWidth="1"/>
    <col min="3" max="3" width="15.28515625" style="104" customWidth="1"/>
    <col min="4" max="4" width="17" style="104" customWidth="1"/>
    <col min="5" max="5" width="42" style="104" customWidth="1"/>
    <col min="6" max="6" width="19.42578125" style="104" hidden="1" customWidth="1"/>
    <col min="7" max="7" width="20.7109375" style="283" customWidth="1"/>
    <col min="8" max="8" width="19.42578125" style="104" customWidth="1"/>
    <col min="9" max="9" width="18" customWidth="1"/>
    <col min="10" max="10" width="13.42578125" bestFit="1" customWidth="1"/>
    <col min="11" max="11" width="12.28515625" bestFit="1" customWidth="1"/>
  </cols>
  <sheetData>
    <row r="1" spans="1:11" s="20" customFormat="1" ht="19.5" thickBot="1" x14ac:dyDescent="0.35">
      <c r="A1" s="459" t="s">
        <v>238</v>
      </c>
      <c r="B1" s="460"/>
      <c r="C1" s="460"/>
      <c r="D1" s="460"/>
      <c r="E1" s="460"/>
      <c r="F1" s="460"/>
      <c r="G1" s="459"/>
      <c r="H1" s="460"/>
    </row>
    <row r="2" spans="1:11" ht="38.25" thickBot="1" x14ac:dyDescent="0.35">
      <c r="A2" s="461" t="s">
        <v>89</v>
      </c>
      <c r="B2" s="462" t="s">
        <v>239</v>
      </c>
      <c r="C2" s="463" t="s">
        <v>243</v>
      </c>
      <c r="D2" s="463" t="s">
        <v>240</v>
      </c>
      <c r="E2" s="463" t="s">
        <v>241</v>
      </c>
      <c r="F2" s="464" t="s">
        <v>558</v>
      </c>
      <c r="G2" s="887" t="s">
        <v>442</v>
      </c>
      <c r="H2" s="465" t="s">
        <v>556</v>
      </c>
      <c r="I2" s="466" t="s">
        <v>644</v>
      </c>
    </row>
    <row r="3" spans="1:11" ht="15.75" x14ac:dyDescent="0.25">
      <c r="A3" s="331"/>
      <c r="B3" s="99"/>
      <c r="C3" s="99"/>
      <c r="D3" s="99"/>
      <c r="E3" s="99"/>
      <c r="F3" s="100"/>
      <c r="G3" s="888"/>
      <c r="H3" s="329"/>
      <c r="I3" s="332"/>
    </row>
    <row r="4" spans="1:11" ht="15.75" x14ac:dyDescent="0.25">
      <c r="A4" s="278" t="s">
        <v>242</v>
      </c>
      <c r="B4" s="101">
        <f>REVENUE!E24</f>
        <v>-1820153536</v>
      </c>
      <c r="C4" s="101">
        <f>REVENUE!B6</f>
        <v>-13702000</v>
      </c>
      <c r="D4" s="101"/>
      <c r="E4" s="101">
        <f>REVENUE!E35</f>
        <v>-231152760</v>
      </c>
      <c r="F4" s="102">
        <f>SUM(B4:E4)</f>
        <v>-2065008296</v>
      </c>
      <c r="G4" s="889">
        <f>REVENUE!E37</f>
        <v>-2065008296</v>
      </c>
      <c r="H4" s="216">
        <f>REVENUE!F37</f>
        <v>-1796400917.04</v>
      </c>
      <c r="I4" s="216">
        <f>REVENUE!G37</f>
        <v>-1646399074.0799999</v>
      </c>
    </row>
    <row r="5" spans="1:11" ht="15.75" x14ac:dyDescent="0.25">
      <c r="A5" s="278" t="s">
        <v>228</v>
      </c>
      <c r="B5" s="101">
        <v>0</v>
      </c>
      <c r="C5" s="101">
        <v>0</v>
      </c>
      <c r="D5" s="101">
        <f>'BA PHALABORWA WATER'!C7</f>
        <v>-136266566.65656251</v>
      </c>
      <c r="E5" s="101">
        <v>0</v>
      </c>
      <c r="F5" s="102">
        <f t="shared" ref="F5:F13" si="0">SUM(B5:E5)</f>
        <v>-136266566.65656251</v>
      </c>
      <c r="G5" s="890">
        <f>'BA PHALABORWA WATER'!C7</f>
        <v>-136266566.65656251</v>
      </c>
      <c r="H5" s="330">
        <f>'BA PHALABORWA WATER'!H7</f>
        <v>-144783227.07259765</v>
      </c>
      <c r="I5" s="330">
        <f>'BA PHALABORWA WATER'!I7</f>
        <v>-153832178.76463503</v>
      </c>
    </row>
    <row r="6" spans="1:11" ht="15.75" x14ac:dyDescent="0.25">
      <c r="A6" s="278" t="s">
        <v>229</v>
      </c>
      <c r="B6" s="101">
        <v>0</v>
      </c>
      <c r="C6" s="101">
        <v>0</v>
      </c>
      <c r="D6" s="101">
        <f>'BA PHALABORWA SEWER'!C7</f>
        <v>-23530499.767124999</v>
      </c>
      <c r="E6" s="101">
        <v>0</v>
      </c>
      <c r="F6" s="102">
        <f t="shared" si="0"/>
        <v>-23530499.767124999</v>
      </c>
      <c r="G6" s="890">
        <f>'BA PHALABORWA SEWER'!C7</f>
        <v>-23530499.767124999</v>
      </c>
      <c r="H6" s="330">
        <f>'BA PHALABORWA SEWER'!H7</f>
        <v>-25001156.002570312</v>
      </c>
      <c r="I6" s="330">
        <f>'BA PHALABORWA SEWER'!I7</f>
        <v>-26563728.252730954</v>
      </c>
    </row>
    <row r="7" spans="1:11" ht="15.75" x14ac:dyDescent="0.25">
      <c r="A7" s="278" t="s">
        <v>230</v>
      </c>
      <c r="B7" s="101">
        <v>0</v>
      </c>
      <c r="C7" s="101">
        <v>0</v>
      </c>
      <c r="D7" s="101">
        <f>'GREATER GIYANI WATER'!C9</f>
        <v>-17549517.5625</v>
      </c>
      <c r="E7" s="101">
        <v>0</v>
      </c>
      <c r="F7" s="102">
        <f t="shared" si="0"/>
        <v>-17549517.5625</v>
      </c>
      <c r="G7" s="890">
        <f>'GREATER GIYANI WATER'!C9</f>
        <v>-17549517.5625</v>
      </c>
      <c r="H7" s="330">
        <f>'GREATER GIYANI WATER'!H9</f>
        <v>-18646362.41015625</v>
      </c>
      <c r="I7" s="330">
        <f>'GREATER GIYANI WATER'!I9</f>
        <v>-19811760.060791016</v>
      </c>
      <c r="J7" s="10"/>
      <c r="K7" s="10"/>
    </row>
    <row r="8" spans="1:11" ht="15.75" x14ac:dyDescent="0.25">
      <c r="A8" s="278" t="s">
        <v>231</v>
      </c>
      <c r="B8" s="101">
        <v>0</v>
      </c>
      <c r="C8" s="101">
        <v>0</v>
      </c>
      <c r="D8" s="101">
        <f>'GREATER GIYANI SEWER'!C8</f>
        <v>-3162298.5625</v>
      </c>
      <c r="E8" s="101">
        <v>0</v>
      </c>
      <c r="F8" s="102">
        <f t="shared" si="0"/>
        <v>-3162298.5625</v>
      </c>
      <c r="G8" s="890">
        <f>'GREATER GIYANI SEWER'!C8</f>
        <v>-3162298.5625</v>
      </c>
      <c r="H8" s="330">
        <f>'GREATER GIYANI SEWER'!H8</f>
        <v>-3359942.22265625</v>
      </c>
      <c r="I8" s="330">
        <f>'GREATER GIYANI SEWER'!I8</f>
        <v>-3569938.6115722656</v>
      </c>
    </row>
    <row r="9" spans="1:11" ht="15.75" x14ac:dyDescent="0.25">
      <c r="A9" s="278" t="s">
        <v>232</v>
      </c>
      <c r="B9" s="101">
        <v>0</v>
      </c>
      <c r="C9" s="101">
        <v>0</v>
      </c>
      <c r="D9" s="101">
        <f>'GREATER LETABA WATER'!C7</f>
        <v>-10563282.5625</v>
      </c>
      <c r="E9" s="101">
        <v>0</v>
      </c>
      <c r="F9" s="102">
        <f>SUM(B9:E9)</f>
        <v>-10563282.5625</v>
      </c>
      <c r="G9" s="890">
        <f>'GREATER LETABA WATER'!C7</f>
        <v>-10563282.5625</v>
      </c>
      <c r="H9" s="330">
        <f>'GREATER LETABA WATER'!H7</f>
        <v>-11223487.72265625</v>
      </c>
      <c r="I9" s="330">
        <f>'GREATER LETABA WATER'!I7</f>
        <v>-11924955.705322266</v>
      </c>
    </row>
    <row r="10" spans="1:11" ht="15.75" x14ac:dyDescent="0.25">
      <c r="A10" s="278" t="s">
        <v>233</v>
      </c>
      <c r="B10" s="101">
        <v>0</v>
      </c>
      <c r="C10" s="101">
        <v>0</v>
      </c>
      <c r="D10" s="101">
        <f>'GREATER LETABA SEWERAGE'!C8</f>
        <v>-4045350.8125</v>
      </c>
      <c r="E10" s="101">
        <v>0</v>
      </c>
      <c r="F10" s="102">
        <f t="shared" si="0"/>
        <v>-4045350.8125</v>
      </c>
      <c r="G10" s="890">
        <f>'GREATER LETABA SEWERAGE'!C8</f>
        <v>-4045350.8125</v>
      </c>
      <c r="H10" s="330">
        <f>'GREATER LETABA SEWERAGE'!H8</f>
        <v>-4298185.23828125</v>
      </c>
      <c r="I10" s="330">
        <f>'GREATER LETABA SEWERAGE'!I8</f>
        <v>-4566821.8156738281</v>
      </c>
    </row>
    <row r="11" spans="1:11" ht="15.75" x14ac:dyDescent="0.25">
      <c r="A11" s="278" t="s">
        <v>234</v>
      </c>
      <c r="B11" s="101">
        <v>0</v>
      </c>
      <c r="C11" s="101">
        <v>0</v>
      </c>
      <c r="D11" s="101">
        <f>'GREATER TZN WATER PURIFICATION'!C9</f>
        <v>-31669683.5625</v>
      </c>
      <c r="E11" s="101">
        <v>0</v>
      </c>
      <c r="F11" s="102">
        <f>SUM(B11:E11)</f>
        <v>-31669683.5625</v>
      </c>
      <c r="G11" s="890">
        <f>'GREATER TZN WATER PURIFICATION'!C9</f>
        <v>-31669683.5625</v>
      </c>
      <c r="H11" s="330">
        <f>'GREATER TZN WATER PURIFICATION'!H9</f>
        <v>-33649038.78515625</v>
      </c>
      <c r="I11" s="330">
        <f>'GREATER TZN WATER PURIFICATION'!I9</f>
        <v>-35752103.709228516</v>
      </c>
    </row>
    <row r="12" spans="1:11" ht="15.75" x14ac:dyDescent="0.25">
      <c r="A12" s="278" t="s">
        <v>235</v>
      </c>
      <c r="B12" s="101">
        <v>0</v>
      </c>
      <c r="C12" s="101">
        <v>0</v>
      </c>
      <c r="D12" s="101">
        <f>'GREATER TZANEEN SEWERAGE'!C8</f>
        <v>-7584142</v>
      </c>
      <c r="E12" s="101">
        <v>0</v>
      </c>
      <c r="F12" s="102">
        <f t="shared" si="0"/>
        <v>-7584142</v>
      </c>
      <c r="G12" s="890">
        <f>'GREATER TZANEEN SEWERAGE'!C8</f>
        <v>-7584142</v>
      </c>
      <c r="H12" s="330">
        <f>'GREATER TZANEEN SEWERAGE'!H8</f>
        <v>-8058150.875</v>
      </c>
      <c r="I12" s="330">
        <f>'GREATER TZANEEN SEWERAGE'!I8</f>
        <v>-8561785.3046875</v>
      </c>
    </row>
    <row r="13" spans="1:11" ht="15.75" x14ac:dyDescent="0.25">
      <c r="A13" s="278" t="s">
        <v>236</v>
      </c>
      <c r="B13" s="101">
        <v>0</v>
      </c>
      <c r="C13" s="101">
        <v>0</v>
      </c>
      <c r="D13" s="101">
        <f>'MARULENG WATER &amp; SEWERAGE'!C10</f>
        <v>-5402929.375</v>
      </c>
      <c r="E13" s="101">
        <v>0</v>
      </c>
      <c r="F13" s="102">
        <f t="shared" si="0"/>
        <v>-5402929.375</v>
      </c>
      <c r="G13" s="890">
        <f>'MARULENG WATER &amp; SEWERAGE'!C10</f>
        <v>-5402929.375</v>
      </c>
      <c r="H13" s="330">
        <f>'MARULENG WATER &amp; SEWERAGE'!H10</f>
        <v>-5740612.4609375</v>
      </c>
      <c r="I13" s="330">
        <f>'MARULENG WATER &amp; SEWERAGE'!I10</f>
        <v>-6099400.7397460938</v>
      </c>
    </row>
    <row r="14" spans="1:11" ht="15.75" x14ac:dyDescent="0.25">
      <c r="A14" s="279"/>
      <c r="B14" s="103"/>
      <c r="C14" s="103"/>
      <c r="D14" s="103"/>
      <c r="E14" s="103"/>
      <c r="F14" s="102"/>
      <c r="G14" s="889"/>
      <c r="H14" s="216"/>
      <c r="I14" s="1"/>
    </row>
    <row r="15" spans="1:11" s="2" customFormat="1" x14ac:dyDescent="0.25">
      <c r="A15" s="909" t="s">
        <v>115</v>
      </c>
      <c r="B15" s="909"/>
      <c r="C15" s="909"/>
      <c r="D15" s="909"/>
      <c r="E15" s="44"/>
      <c r="F15" s="44">
        <f>SUM(F4:F14)</f>
        <v>-2304782566.8611875</v>
      </c>
      <c r="G15" s="891">
        <f>SUM(G4:G14)</f>
        <v>-2304782566.8611875</v>
      </c>
      <c r="H15" s="178">
        <f>SUM(H4:H14)</f>
        <v>-2051161079.8300118</v>
      </c>
      <c r="I15" s="178">
        <f>SUM(I4:I14)</f>
        <v>-1917081747.0443873</v>
      </c>
    </row>
    <row r="16" spans="1:11" s="2" customFormat="1" x14ac:dyDescent="0.25">
      <c r="A16" s="909" t="s">
        <v>116</v>
      </c>
      <c r="B16" s="909"/>
      <c r="C16" s="909"/>
      <c r="D16" s="909"/>
      <c r="E16" s="44"/>
      <c r="F16" s="44">
        <f>SUMMARY!L84</f>
        <v>2292444889.9873133</v>
      </c>
      <c r="G16" s="891">
        <f>SUMMARY!L84</f>
        <v>2292444889.9873133</v>
      </c>
      <c r="H16" s="178">
        <f>SUMMARY!M84</f>
        <v>1412671426.2189176</v>
      </c>
      <c r="I16" s="178">
        <f>SUMMARY!N84</f>
        <v>1504911798.5068946</v>
      </c>
    </row>
    <row r="17" spans="1:9" s="11" customFormat="1" x14ac:dyDescent="0.25">
      <c r="A17" s="909" t="s">
        <v>160</v>
      </c>
      <c r="B17" s="909"/>
      <c r="C17" s="909"/>
      <c r="D17" s="909"/>
      <c r="E17" s="44"/>
      <c r="F17" s="44">
        <f>F15+F16</f>
        <v>-12337676.873874187</v>
      </c>
      <c r="G17" s="891">
        <f>G15+G16</f>
        <v>-12337676.873874187</v>
      </c>
      <c r="H17" s="178">
        <f>H15+H16</f>
        <v>-638489653.61109424</v>
      </c>
      <c r="I17" s="178">
        <f>I15+I16</f>
        <v>-412169948.53749275</v>
      </c>
    </row>
    <row r="18" spans="1:9" s="11" customFormat="1" x14ac:dyDescent="0.25">
      <c r="A18" s="280"/>
      <c r="B18" s="259"/>
      <c r="C18" s="259"/>
      <c r="D18" s="259"/>
      <c r="E18" s="13"/>
      <c r="F18" s="13"/>
      <c r="G18" s="892"/>
      <c r="H18" s="13"/>
    </row>
    <row r="19" spans="1:9" s="11" customFormat="1" x14ac:dyDescent="0.25">
      <c r="A19" s="281"/>
      <c r="E19" s="13" t="s">
        <v>620</v>
      </c>
      <c r="F19" s="13"/>
      <c r="G19" s="892"/>
      <c r="H19" s="13"/>
    </row>
    <row r="20" spans="1:9" ht="15.75" thickBot="1" x14ac:dyDescent="0.3">
      <c r="E20" s="64"/>
      <c r="I20" s="333"/>
    </row>
    <row r="21" spans="1:9" x14ac:dyDescent="0.25">
      <c r="E21" s="260" t="s">
        <v>554</v>
      </c>
      <c r="F21" s="261">
        <f t="shared" ref="F21:I22" si="1">F15</f>
        <v>-2304782566.8611875</v>
      </c>
      <c r="G21" s="893">
        <f t="shared" si="1"/>
        <v>-2304782566.8611875</v>
      </c>
      <c r="H21" s="261">
        <f t="shared" si="1"/>
        <v>-2051161079.8300118</v>
      </c>
      <c r="I21" s="261">
        <f t="shared" si="1"/>
        <v>-1917081747.0443873</v>
      </c>
    </row>
    <row r="22" spans="1:9" ht="15.75" thickBot="1" x14ac:dyDescent="0.3">
      <c r="E22" s="262" t="s">
        <v>555</v>
      </c>
      <c r="F22" s="265">
        <f t="shared" si="1"/>
        <v>2292444889.9873133</v>
      </c>
      <c r="G22" s="894">
        <f t="shared" si="1"/>
        <v>2292444889.9873133</v>
      </c>
      <c r="H22" s="265">
        <f t="shared" si="1"/>
        <v>1412671426.2189176</v>
      </c>
      <c r="I22" s="265">
        <f t="shared" si="1"/>
        <v>1504911798.5068946</v>
      </c>
    </row>
    <row r="23" spans="1:9" x14ac:dyDescent="0.25">
      <c r="E23" s="263" t="s">
        <v>617</v>
      </c>
      <c r="F23" s="328">
        <f>SUM(F21:F22)</f>
        <v>-12337676.873874187</v>
      </c>
      <c r="G23" s="870">
        <f>SUM(G21:G22)</f>
        <v>-12337676.873874187</v>
      </c>
      <c r="H23" s="258">
        <f>SUM(H21:H22)</f>
        <v>-638489653.61109424</v>
      </c>
      <c r="I23" s="258">
        <f>SUM(I21:I22)</f>
        <v>-412169948.53749275</v>
      </c>
    </row>
    <row r="24" spans="1:9" ht="15.75" thickBot="1" x14ac:dyDescent="0.3">
      <c r="E24" s="262" t="s">
        <v>592</v>
      </c>
      <c r="F24" s="265">
        <f>SUMMARY!D84+SUMMARY!E84</f>
        <v>251229771.31568754</v>
      </c>
      <c r="G24" s="894">
        <v>254329257</v>
      </c>
      <c r="H24" s="265">
        <f>COUNCIL!H12+MM!H27+CFO!H23+IA!G19+'P&amp;D'!H22+LED!H19+COMM!H18+ENGINEERING!H19+PMU!H18+WATER!H22+ROADS!H21+COMMUNITY!H18+'FIRE-BA PHALABORWA'!H22+DISASTER!H21+CORPORATE!H19+HR!H19+ADMIN!H19+LEGAL!H16+IT!H31+OEM!H27+SPEAKER!H19+'BA PHALABORWA WATER'!H30+'BA PHALABORWA SEWER'!H29+'GREATER LETABA WATER'!H25+'GREATER LETABA SEWERAGE'!H24+'GREATER TZN WATER PURIFICATION'!H33+'GREATER TZANEEN SEWERAGE'!H32</f>
        <v>266925746.37213677</v>
      </c>
      <c r="I24" s="265">
        <f>COUNCIL!I12+MM!I27+CFO!I23+IA!H19+'P&amp;D'!I22+LED!I19+COMM!I18+ENGINEERING!I19+PMU!I18+WATER!I22+ROADS!I21+COMMUNITY!I18+'FIRE-BA PHALABORWA'!I22+DISASTER!I21+CORPORATE!I19+HR!I19+ADMIN!I19+LEGAL!I16+IT!I31+OEM!I27+SPEAKER!I19+'BA PHALABORWA WATER'!I30+'BA PHALABORWA SEWER'!I29+'GREATER LETABA WATER'!I25+'GREATER LETABA SEWERAGE'!I24+'GREATER TZN WATER PURIFICATION'!I33+'GREATER TZANEEN SEWERAGE'!I32</f>
        <v>283604115.64539528</v>
      </c>
    </row>
    <row r="25" spans="1:9" ht="15.75" thickBot="1" x14ac:dyDescent="0.3">
      <c r="E25" s="264" t="s">
        <v>294</v>
      </c>
      <c r="F25" s="266">
        <f>F23-F24</f>
        <v>-263567448.18956172</v>
      </c>
      <c r="G25" s="895">
        <f>G23-G24</f>
        <v>-266666933.87387419</v>
      </c>
      <c r="H25" s="455">
        <f>H23-H24</f>
        <v>-905415399.98323107</v>
      </c>
      <c r="I25" s="455">
        <f>I23-I24</f>
        <v>-695774064.18288803</v>
      </c>
    </row>
    <row r="26" spans="1:9" ht="16.5" thickTop="1" thickBot="1" x14ac:dyDescent="0.3">
      <c r="E26" s="258"/>
      <c r="F26" s="258"/>
      <c r="G26" s="818"/>
      <c r="H26" s="98"/>
      <c r="I26" s="334"/>
    </row>
    <row r="27" spans="1:9" x14ac:dyDescent="0.25">
      <c r="E27" s="276" t="s">
        <v>633</v>
      </c>
      <c r="F27" s="274">
        <f>F4</f>
        <v>-2065008296</v>
      </c>
      <c r="G27" s="896">
        <f>G4</f>
        <v>-2065008296</v>
      </c>
      <c r="H27" s="274">
        <f>H4</f>
        <v>-1796400917.04</v>
      </c>
      <c r="I27" s="274">
        <f>I4</f>
        <v>-1646399074.0799999</v>
      </c>
    </row>
    <row r="28" spans="1:9" x14ac:dyDescent="0.25">
      <c r="A28" s="283"/>
      <c r="E28" s="277" t="s">
        <v>634</v>
      </c>
      <c r="F28" s="275">
        <f>SUMMARY!L84-SUMMARY!L81-SUMMARY!L80-SUMMARY!L79-SUMMARY!L78-SUMMARY!L77-SUMMARY!L76-SUMMARY!L75-SUMMARY!L74-SUMMARY!L73</f>
        <v>2109618205.6172507</v>
      </c>
      <c r="G28" s="897">
        <f>SUMMARY!O60</f>
        <v>2109618205.6172504</v>
      </c>
      <c r="H28" s="275">
        <f>SUMMARY!O61</f>
        <v>1244158541.2279527</v>
      </c>
      <c r="I28" s="275">
        <f>SUMMARY!O62</f>
        <v>1326020059.6230054</v>
      </c>
    </row>
    <row r="29" spans="1:9" x14ac:dyDescent="0.25">
      <c r="E29" s="263" t="s">
        <v>635</v>
      </c>
      <c r="F29" s="275">
        <f>F27+F28</f>
        <v>44609909.617250681</v>
      </c>
      <c r="G29" s="897">
        <f>G27+G28</f>
        <v>44609909.617250443</v>
      </c>
      <c r="H29" s="275">
        <f>H27+H28</f>
        <v>-552242375.81204724</v>
      </c>
      <c r="I29" s="267">
        <f>SUM(I27:I28)</f>
        <v>-320379014.45699453</v>
      </c>
    </row>
    <row r="30" spans="1:9" ht="15.75" thickBot="1" x14ac:dyDescent="0.3">
      <c r="E30" s="277" t="s">
        <v>636</v>
      </c>
      <c r="F30" s="275">
        <f>SUMMARY!D84</f>
        <v>186056117.74500003</v>
      </c>
      <c r="G30" s="898">
        <f>SUMMARY!D84</f>
        <v>186056117.74500003</v>
      </c>
      <c r="H30" s="378">
        <f>270218695-'BA PHALABORWA WATER'!H30-'BA PHALABORWA SEWER'!H29-'GREATER LETABA WATER'!H25-'GREATER LETABA SEWERAGE'!H24-'GREATER TZN WATER PURIFICATION'!H33-'GREATER TZANEEN SEWERAGE'!H32</f>
        <v>200971688.08114454</v>
      </c>
      <c r="I30" s="378">
        <f>287102874-'BA PHALABORWA WATER'!I30-'BA PHALABORWA SEWER'!I29-'GREATER LETABA WATER'!I25-'GREATER LETABA SEWERAGE'!I24-'GREATER TZN WATER PURIFICATION'!I33-'GREATER TZANEEN SEWERAGE'!I32</f>
        <v>213527929.14871606</v>
      </c>
    </row>
    <row r="31" spans="1:9" ht="16.5" thickTop="1" thickBot="1" x14ac:dyDescent="0.3">
      <c r="E31" s="264" t="s">
        <v>294</v>
      </c>
      <c r="F31" s="265">
        <f>F29-F30</f>
        <v>-141446208.12774935</v>
      </c>
      <c r="G31" s="899">
        <f>G29-G30</f>
        <v>-141446208.12774959</v>
      </c>
      <c r="H31" s="456">
        <f>H29-H30</f>
        <v>-753214063.89319181</v>
      </c>
      <c r="I31" s="456">
        <f>I29-I30</f>
        <v>-533906943.60571063</v>
      </c>
    </row>
    <row r="32" spans="1:9" x14ac:dyDescent="0.25">
      <c r="B32" s="175"/>
      <c r="C32" s="175"/>
      <c r="D32" s="175"/>
      <c r="I32" s="19"/>
    </row>
    <row r="33" spans="5:9" x14ac:dyDescent="0.25">
      <c r="E33" s="199"/>
      <c r="F33" s="199"/>
      <c r="G33" s="900"/>
      <c r="H33" s="199"/>
      <c r="I33" s="19"/>
    </row>
    <row r="34" spans="5:9" x14ac:dyDescent="0.25">
      <c r="H34" s="189"/>
    </row>
  </sheetData>
  <mergeCells count="3">
    <mergeCell ref="A15:D15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&amp;A&amp;RPage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1">
    <tabColor theme="0"/>
    <pageSetUpPr fitToPage="1"/>
  </sheetPr>
  <dimension ref="A1:L39"/>
  <sheetViews>
    <sheetView topLeftCell="A22" zoomScaleNormal="100" workbookViewId="0">
      <selection activeCell="D30" sqref="D30"/>
    </sheetView>
  </sheetViews>
  <sheetFormatPr defaultColWidth="8.85546875" defaultRowHeight="15" x14ac:dyDescent="0.25"/>
  <cols>
    <col min="1" max="1" width="35.7109375" style="19" customWidth="1"/>
    <col min="2" max="3" width="16.7109375" style="63" customWidth="1"/>
    <col min="4" max="4" width="14.85546875" style="63" customWidth="1"/>
    <col min="5" max="5" width="16.7109375" style="63" customWidth="1"/>
    <col min="6" max="6" width="21.42578125" style="63" customWidth="1"/>
    <col min="7" max="7" width="20.42578125" style="63" customWidth="1"/>
    <col min="8" max="8" width="14.42578125" bestFit="1" customWidth="1"/>
    <col min="9" max="9" width="11.42578125" bestFit="1" customWidth="1"/>
    <col min="10" max="10" width="12.28515625" bestFit="1" customWidth="1"/>
    <col min="12" max="12" width="11.85546875" bestFit="1" customWidth="1"/>
  </cols>
  <sheetData>
    <row r="1" spans="1:9" s="2" customFormat="1" ht="18.75" x14ac:dyDescent="0.3">
      <c r="A1" s="15" t="s">
        <v>136</v>
      </c>
      <c r="B1" s="105"/>
      <c r="C1" s="105"/>
      <c r="D1" s="105"/>
      <c r="E1" s="105"/>
      <c r="F1" s="105"/>
      <c r="G1" s="105"/>
    </row>
    <row r="2" spans="1:9" s="2" customFormat="1" ht="15.75" thickBot="1" x14ac:dyDescent="0.3">
      <c r="A2" s="18"/>
      <c r="B2" s="85"/>
      <c r="C2" s="85"/>
      <c r="D2" s="85"/>
      <c r="E2" s="85"/>
      <c r="F2" s="85"/>
      <c r="G2" s="85"/>
    </row>
    <row r="3" spans="1:9" s="2" customFormat="1" ht="33.75" customHeight="1" x14ac:dyDescent="0.25">
      <c r="A3" s="467" t="s">
        <v>39</v>
      </c>
      <c r="B3" s="468" t="s">
        <v>442</v>
      </c>
      <c r="C3" s="468" t="s">
        <v>842</v>
      </c>
      <c r="D3" s="706" t="s">
        <v>472</v>
      </c>
      <c r="E3" s="706" t="s">
        <v>797</v>
      </c>
      <c r="F3" s="468" t="s">
        <v>556</v>
      </c>
      <c r="G3" s="468" t="s">
        <v>644</v>
      </c>
    </row>
    <row r="4" spans="1:9" s="2" customFormat="1" x14ac:dyDescent="0.25">
      <c r="A4" s="50" t="s">
        <v>74</v>
      </c>
      <c r="B4" s="51">
        <v>-6324000</v>
      </c>
      <c r="C4" s="51"/>
      <c r="D4" s="51"/>
      <c r="E4" s="51">
        <f>D4+B4</f>
        <v>-6324000</v>
      </c>
      <c r="F4" s="51">
        <v>-6665496</v>
      </c>
      <c r="G4" s="397">
        <v>-7006992</v>
      </c>
      <c r="H4" s="267"/>
      <c r="I4" s="267"/>
    </row>
    <row r="5" spans="1:9" s="2" customFormat="1" x14ac:dyDescent="0.25">
      <c r="A5" s="50" t="s">
        <v>304</v>
      </c>
      <c r="B5" s="51">
        <v>-7378000</v>
      </c>
      <c r="C5" s="51"/>
      <c r="D5" s="51"/>
      <c r="E5" s="51">
        <f>D5+B5</f>
        <v>-7378000</v>
      </c>
      <c r="F5" s="51">
        <v>-7776412</v>
      </c>
      <c r="G5" s="397">
        <v>-8174824</v>
      </c>
      <c r="H5" s="267"/>
    </row>
    <row r="6" spans="1:9" s="2" customFormat="1" x14ac:dyDescent="0.25">
      <c r="A6" s="60"/>
      <c r="B6" s="44">
        <f>SUM(B4:B5)</f>
        <v>-13702000</v>
      </c>
      <c r="C6" s="44">
        <f>SUM(C4:C5)</f>
        <v>0</v>
      </c>
      <c r="D6" s="44">
        <f t="shared" ref="D6:E6" si="0">SUM(D4:D5)</f>
        <v>0</v>
      </c>
      <c r="E6" s="44">
        <f t="shared" si="0"/>
        <v>-13702000</v>
      </c>
      <c r="F6" s="44">
        <f>SUM(F4:F5)</f>
        <v>-14441908</v>
      </c>
      <c r="G6" s="400">
        <f>SUM(G4:G5)</f>
        <v>-15181816</v>
      </c>
      <c r="H6" s="267"/>
      <c r="I6" s="267"/>
    </row>
    <row r="7" spans="1:9" s="2" customFormat="1" hidden="1" x14ac:dyDescent="0.25">
      <c r="A7" s="60"/>
      <c r="B7" s="44"/>
      <c r="C7" s="44"/>
      <c r="D7" s="44"/>
      <c r="E7" s="44"/>
      <c r="F7" s="44"/>
      <c r="G7" s="400"/>
    </row>
    <row r="8" spans="1:9" s="2" customFormat="1" hidden="1" x14ac:dyDescent="0.25">
      <c r="A8" s="50" t="s">
        <v>305</v>
      </c>
      <c r="B8" s="51">
        <v>0</v>
      </c>
      <c r="C8" s="51"/>
      <c r="D8" s="51"/>
      <c r="E8" s="51"/>
      <c r="F8" s="51">
        <v>0</v>
      </c>
      <c r="G8" s="397">
        <v>0</v>
      </c>
    </row>
    <row r="9" spans="1:9" s="2" customFormat="1" hidden="1" x14ac:dyDescent="0.25">
      <c r="A9" s="60"/>
      <c r="B9" s="44">
        <f>SUM(B8)</f>
        <v>0</v>
      </c>
      <c r="C9" s="44"/>
      <c r="D9" s="44"/>
      <c r="E9" s="44"/>
      <c r="F9" s="44">
        <f>SUM(F8)</f>
        <v>0</v>
      </c>
      <c r="G9" s="400">
        <f>SUM(G8)</f>
        <v>0</v>
      </c>
    </row>
    <row r="10" spans="1:9" s="2" customFormat="1" hidden="1" x14ac:dyDescent="0.25">
      <c r="A10" s="60"/>
      <c r="B10" s="44"/>
      <c r="C10" s="44"/>
      <c r="D10" s="44"/>
      <c r="E10" s="44"/>
      <c r="F10" s="44"/>
      <c r="G10" s="400"/>
    </row>
    <row r="11" spans="1:9" s="2" customFormat="1" hidden="1" x14ac:dyDescent="0.25">
      <c r="A11" s="50" t="s">
        <v>295</v>
      </c>
      <c r="B11" s="51"/>
      <c r="C11" s="51"/>
      <c r="D11" s="51"/>
      <c r="E11" s="51"/>
      <c r="F11" s="51">
        <f>B11*5.4%+B11</f>
        <v>0</v>
      </c>
      <c r="G11" s="397">
        <f>F11*5.4%+F11</f>
        <v>0</v>
      </c>
    </row>
    <row r="12" spans="1:9" s="2" customFormat="1" hidden="1" x14ac:dyDescent="0.25">
      <c r="A12" s="60"/>
      <c r="B12" s="44">
        <f>SUM(B11)</f>
        <v>0</v>
      </c>
      <c r="C12" s="44"/>
      <c r="D12" s="44"/>
      <c r="E12" s="44"/>
      <c r="F12" s="44">
        <f>SUM(F11)</f>
        <v>0</v>
      </c>
      <c r="G12" s="400">
        <f>SUM(G11)</f>
        <v>0</v>
      </c>
    </row>
    <row r="13" spans="1:9" s="2" customFormat="1" x14ac:dyDescent="0.25">
      <c r="A13" s="60"/>
      <c r="B13" s="51"/>
      <c r="C13" s="51"/>
      <c r="D13" s="51"/>
      <c r="E13" s="51"/>
      <c r="F13" s="51"/>
      <c r="G13" s="397"/>
    </row>
    <row r="14" spans="1:9" s="204" customFormat="1" x14ac:dyDescent="0.25">
      <c r="A14" s="96" t="s">
        <v>11</v>
      </c>
      <c r="B14" s="91">
        <f>-998515000-124144000</f>
        <v>-1122659000</v>
      </c>
      <c r="C14" s="91"/>
      <c r="D14" s="91"/>
      <c r="E14" s="91">
        <f>B14+D14</f>
        <v>-1122659000</v>
      </c>
      <c r="F14" s="91">
        <v>-1086980000</v>
      </c>
      <c r="G14" s="404">
        <v>-1174382000</v>
      </c>
      <c r="H14" s="268"/>
    </row>
    <row r="15" spans="1:9" s="204" customFormat="1" x14ac:dyDescent="0.25">
      <c r="A15" s="96" t="s">
        <v>77</v>
      </c>
      <c r="B15" s="91">
        <v>-9800000</v>
      </c>
      <c r="C15" s="91"/>
      <c r="D15" s="91">
        <v>367000</v>
      </c>
      <c r="E15" s="91">
        <f t="shared" ref="E15:E23" si="1">B15+D15</f>
        <v>-9433000</v>
      </c>
      <c r="F15" s="91">
        <v>0</v>
      </c>
      <c r="G15" s="404">
        <v>0</v>
      </c>
      <c r="H15" s="268"/>
      <c r="I15" s="268"/>
    </row>
    <row r="16" spans="1:9" s="204" customFormat="1" x14ac:dyDescent="0.25">
      <c r="A16" s="96" t="s">
        <v>157</v>
      </c>
      <c r="B16" s="91">
        <v>-2762000</v>
      </c>
      <c r="C16" s="91"/>
      <c r="D16" s="91">
        <v>62000</v>
      </c>
      <c r="E16" s="91">
        <f t="shared" si="1"/>
        <v>-2700000</v>
      </c>
      <c r="F16" s="91">
        <v>-3026000</v>
      </c>
      <c r="G16" s="404">
        <v>-3290000</v>
      </c>
      <c r="H16" s="268"/>
    </row>
    <row r="17" spans="1:12" s="204" customFormat="1" x14ac:dyDescent="0.25">
      <c r="A17" s="96" t="s">
        <v>159</v>
      </c>
      <c r="B17" s="91">
        <v>-481413000</v>
      </c>
      <c r="C17" s="91"/>
      <c r="D17" s="91">
        <v>30357000</v>
      </c>
      <c r="E17" s="91">
        <f t="shared" si="1"/>
        <v>-451056000</v>
      </c>
      <c r="F17" s="91">
        <v>-492865000</v>
      </c>
      <c r="G17" s="404">
        <v>-523460000</v>
      </c>
      <c r="H17" s="268"/>
    </row>
    <row r="18" spans="1:12" s="136" customFormat="1" x14ac:dyDescent="0.25">
      <c r="A18" s="88" t="s">
        <v>370</v>
      </c>
      <c r="B18" s="91">
        <v>-2225000</v>
      </c>
      <c r="C18" s="91"/>
      <c r="D18" s="91"/>
      <c r="E18" s="91">
        <f t="shared" si="1"/>
        <v>-2225000</v>
      </c>
      <c r="F18" s="91">
        <v>-2348000</v>
      </c>
      <c r="G18" s="91">
        <v>-2484000</v>
      </c>
      <c r="H18" s="268"/>
    </row>
    <row r="19" spans="1:12" s="136" customFormat="1" x14ac:dyDescent="0.25">
      <c r="A19" s="88" t="s">
        <v>369</v>
      </c>
      <c r="B19" s="176">
        <v>-45000000</v>
      </c>
      <c r="C19" s="176"/>
      <c r="D19" s="176"/>
      <c r="E19" s="91">
        <f t="shared" si="1"/>
        <v>-45000000</v>
      </c>
      <c r="F19" s="91">
        <v>-60363000</v>
      </c>
      <c r="G19" s="404">
        <v>-55000000</v>
      </c>
      <c r="H19" s="268"/>
    </row>
    <row r="20" spans="1:12" s="749" customFormat="1" ht="30" x14ac:dyDescent="0.25">
      <c r="A20" s="787" t="s">
        <v>890</v>
      </c>
      <c r="B20" s="176">
        <v>0</v>
      </c>
      <c r="C20" s="176">
        <v>0</v>
      </c>
      <c r="D20" s="176">
        <v>-36090000</v>
      </c>
      <c r="E20" s="91">
        <f t="shared" si="1"/>
        <v>-36090000</v>
      </c>
      <c r="F20" s="91"/>
      <c r="G20" s="404"/>
      <c r="H20" s="753"/>
    </row>
    <row r="21" spans="1:12" s="136" customFormat="1" x14ac:dyDescent="0.25">
      <c r="A21" s="88" t="s">
        <v>850</v>
      </c>
      <c r="B21" s="176">
        <v>0</v>
      </c>
      <c r="C21" s="176"/>
      <c r="D21" s="176">
        <v>-132957550</v>
      </c>
      <c r="E21" s="91">
        <f t="shared" si="1"/>
        <v>-132957550</v>
      </c>
      <c r="F21" s="91">
        <v>0</v>
      </c>
      <c r="G21" s="404">
        <v>0</v>
      </c>
      <c r="H21" s="268"/>
    </row>
    <row r="22" spans="1:12" s="136" customFormat="1" x14ac:dyDescent="0.25">
      <c r="A22" s="88" t="s">
        <v>851</v>
      </c>
      <c r="B22" s="176">
        <v>0</v>
      </c>
      <c r="C22" s="176"/>
      <c r="D22" s="176">
        <v>-18032986</v>
      </c>
      <c r="E22" s="91">
        <f t="shared" si="1"/>
        <v>-18032986</v>
      </c>
      <c r="F22" s="91">
        <v>0</v>
      </c>
      <c r="G22" s="404">
        <v>0</v>
      </c>
      <c r="H22" s="268"/>
    </row>
    <row r="23" spans="1:12" s="33" customFormat="1" x14ac:dyDescent="0.25">
      <c r="A23" s="55"/>
      <c r="B23" s="51"/>
      <c r="C23" s="51"/>
      <c r="D23" s="51">
        <v>0</v>
      </c>
      <c r="E23" s="91">
        <f t="shared" si="1"/>
        <v>0</v>
      </c>
      <c r="F23" s="51"/>
      <c r="G23" s="397"/>
      <c r="H23" s="268"/>
    </row>
    <row r="24" spans="1:12" s="11" customFormat="1" x14ac:dyDescent="0.25">
      <c r="A24" s="60"/>
      <c r="B24" s="44">
        <f>SUM(B14:B23)</f>
        <v>-1663859000</v>
      </c>
      <c r="C24" s="44">
        <f>SUM(C14:C23)</f>
        <v>0</v>
      </c>
      <c r="D24" s="44">
        <f t="shared" ref="D24:E24" si="2">SUM(D14:D23)</f>
        <v>-156294536</v>
      </c>
      <c r="E24" s="44">
        <f t="shared" si="2"/>
        <v>-1820153536</v>
      </c>
      <c r="F24" s="44">
        <f>SUM(F14:F23)</f>
        <v>-1645582000</v>
      </c>
      <c r="G24" s="400">
        <f>SUM(G14:G23)</f>
        <v>-1758616000</v>
      </c>
      <c r="H24" s="268"/>
      <c r="J24" s="257"/>
      <c r="L24" s="257"/>
    </row>
    <row r="25" spans="1:12" s="11" customFormat="1" x14ac:dyDescent="0.25">
      <c r="A25" s="60"/>
      <c r="B25" s="44"/>
      <c r="C25" s="44"/>
      <c r="D25" s="44"/>
      <c r="E25" s="44"/>
      <c r="F25" s="44"/>
      <c r="G25" s="400"/>
      <c r="H25" s="268"/>
    </row>
    <row r="26" spans="1:12" s="32" customFormat="1" x14ac:dyDescent="0.25">
      <c r="A26" s="50" t="s">
        <v>13</v>
      </c>
      <c r="B26" s="51">
        <v>-590240</v>
      </c>
      <c r="C26" s="51"/>
      <c r="D26" s="51"/>
      <c r="E26" s="51">
        <f>B26+D26</f>
        <v>-590240</v>
      </c>
      <c r="F26" s="51">
        <v>-622112.96</v>
      </c>
      <c r="G26" s="397">
        <v>-653985.91999999993</v>
      </c>
      <c r="H26" s="268"/>
    </row>
    <row r="27" spans="1:12" s="2" customFormat="1" x14ac:dyDescent="0.25">
      <c r="A27" s="50" t="s">
        <v>15</v>
      </c>
      <c r="B27" s="51">
        <v>-168640</v>
      </c>
      <c r="C27" s="51"/>
      <c r="D27" s="51"/>
      <c r="E27" s="51">
        <f t="shared" ref="E27:E34" si="3">B27+D27</f>
        <v>-168640</v>
      </c>
      <c r="F27" s="51">
        <v>-177746.56</v>
      </c>
      <c r="G27" s="397">
        <v>-186853.12</v>
      </c>
      <c r="H27" s="268"/>
    </row>
    <row r="28" spans="1:12" s="77" customFormat="1" x14ac:dyDescent="0.25">
      <c r="A28" s="96" t="s">
        <v>461</v>
      </c>
      <c r="B28" s="91">
        <v>-2108000</v>
      </c>
      <c r="C28" s="91"/>
      <c r="D28" s="91"/>
      <c r="E28" s="51">
        <f t="shared" si="3"/>
        <v>-2108000</v>
      </c>
      <c r="F28" s="51">
        <v>-2221832</v>
      </c>
      <c r="G28" s="397">
        <v>-2335664</v>
      </c>
      <c r="H28" s="268"/>
    </row>
    <row r="29" spans="1:12" s="77" customFormat="1" x14ac:dyDescent="0.25">
      <c r="A29" s="96" t="s">
        <v>538</v>
      </c>
      <c r="B29" s="91">
        <v>-105400</v>
      </c>
      <c r="C29" s="91"/>
      <c r="D29" s="91"/>
      <c r="E29" s="51">
        <f t="shared" si="3"/>
        <v>-105400</v>
      </c>
      <c r="F29" s="51">
        <v>-111091.6</v>
      </c>
      <c r="G29" s="397">
        <v>-116783.20000000001</v>
      </c>
      <c r="H29" s="268"/>
    </row>
    <row r="30" spans="1:12" s="886" customFormat="1" x14ac:dyDescent="0.25">
      <c r="A30" s="884" t="s">
        <v>917</v>
      </c>
      <c r="B30" s="805">
        <v>0</v>
      </c>
      <c r="C30" s="805">
        <v>0</v>
      </c>
      <c r="D30" s="805">
        <v>-132000000</v>
      </c>
      <c r="E30" s="805">
        <f t="shared" si="3"/>
        <v>-132000000</v>
      </c>
      <c r="F30" s="805">
        <f t="shared" ref="F30" si="4">C30+E30</f>
        <v>-132000000</v>
      </c>
      <c r="G30" s="805">
        <v>132000000</v>
      </c>
      <c r="H30" s="885"/>
    </row>
    <row r="31" spans="1:12" s="2" customFormat="1" x14ac:dyDescent="0.25">
      <c r="A31" s="50" t="s">
        <v>65</v>
      </c>
      <c r="B31" s="51">
        <v>-1054000</v>
      </c>
      <c r="C31" s="51"/>
      <c r="D31" s="51"/>
      <c r="E31" s="51">
        <f t="shared" si="3"/>
        <v>-1054000</v>
      </c>
      <c r="F31" s="51">
        <v>-1110916</v>
      </c>
      <c r="G31" s="397">
        <v>-1167832</v>
      </c>
      <c r="H31" s="268"/>
    </row>
    <row r="32" spans="1:12" s="29" customFormat="1" x14ac:dyDescent="0.25">
      <c r="A32" s="55" t="s">
        <v>269</v>
      </c>
      <c r="B32" s="51">
        <v>-126480</v>
      </c>
      <c r="C32" s="51"/>
      <c r="D32" s="51"/>
      <c r="E32" s="51">
        <f t="shared" si="3"/>
        <v>-126480</v>
      </c>
      <c r="F32" s="51">
        <v>-133309.92000000001</v>
      </c>
      <c r="G32" s="397">
        <v>-140139.84000000003</v>
      </c>
      <c r="H32" s="268"/>
    </row>
    <row r="33" spans="1:8" s="29" customFormat="1" x14ac:dyDescent="0.25">
      <c r="A33" s="826" t="s">
        <v>891</v>
      </c>
      <c r="B33" s="51">
        <v>0</v>
      </c>
      <c r="C33" s="51"/>
      <c r="D33" s="51">
        <v>-50000000</v>
      </c>
      <c r="E33" s="51">
        <f t="shared" si="3"/>
        <v>-50000000</v>
      </c>
      <c r="F33" s="51">
        <v>0</v>
      </c>
      <c r="G33" s="397">
        <v>0</v>
      </c>
      <c r="H33" s="268"/>
    </row>
    <row r="34" spans="1:8" s="849" customFormat="1" x14ac:dyDescent="0.25">
      <c r="A34" s="850" t="s">
        <v>907</v>
      </c>
      <c r="B34" s="51">
        <v>0</v>
      </c>
      <c r="C34" s="51">
        <v>0</v>
      </c>
      <c r="D34" s="51">
        <v>-45000000</v>
      </c>
      <c r="E34" s="51">
        <f t="shared" si="3"/>
        <v>-45000000</v>
      </c>
      <c r="F34" s="51"/>
      <c r="G34" s="397"/>
      <c r="H34" s="859"/>
    </row>
    <row r="35" spans="1:8" s="2" customFormat="1" x14ac:dyDescent="0.25">
      <c r="A35" s="60"/>
      <c r="B35" s="44">
        <f>SUM(B26:B34)</f>
        <v>-4152760</v>
      </c>
      <c r="C35" s="44">
        <f t="shared" ref="C35:D35" si="5">SUM(C26:C34)</f>
        <v>0</v>
      </c>
      <c r="D35" s="44">
        <f t="shared" si="5"/>
        <v>-227000000</v>
      </c>
      <c r="E35" s="44">
        <f>SUM(E26:E34)</f>
        <v>-231152760</v>
      </c>
      <c r="F35" s="44">
        <f>SUM(F26:F34)</f>
        <v>-136377009.03999999</v>
      </c>
      <c r="G35" s="44">
        <f>SUM(G26:G34)</f>
        <v>127398741.92</v>
      </c>
      <c r="H35" s="268"/>
    </row>
    <row r="36" spans="1:8" s="2" customFormat="1" x14ac:dyDescent="0.25">
      <c r="A36" s="50"/>
      <c r="B36" s="51"/>
      <c r="C36" s="51"/>
      <c r="D36" s="51"/>
      <c r="E36" s="51"/>
      <c r="F36" s="51"/>
      <c r="G36" s="397"/>
      <c r="H36" s="268"/>
    </row>
    <row r="37" spans="1:8" s="2" customFormat="1" x14ac:dyDescent="0.25">
      <c r="A37" s="720"/>
      <c r="B37" s="379">
        <f>B35+B24+B6+B12+B9</f>
        <v>-1681713760</v>
      </c>
      <c r="C37" s="379">
        <f>C35+C24+C6+C12+C9</f>
        <v>0</v>
      </c>
      <c r="D37" s="379">
        <f t="shared" ref="D37" si="6">D35+D24+D6+D12+D9</f>
        <v>-383294536</v>
      </c>
      <c r="E37" s="379">
        <f>E35+E24+E6+E12+E9</f>
        <v>-2065008296</v>
      </c>
      <c r="F37" s="44">
        <f>F35+F24+F6+F12+F9</f>
        <v>-1796400917.04</v>
      </c>
      <c r="G37" s="400">
        <f>G35+G24+G6+G12+G9</f>
        <v>-1646399074.0799999</v>
      </c>
      <c r="H37" s="268"/>
    </row>
    <row r="38" spans="1:8" x14ac:dyDescent="0.25">
      <c r="A38" s="50"/>
      <c r="B38" s="85">
        <f>SUM('SUMMARY REVENUE'!G5:G13)</f>
        <v>-239774270.86118752</v>
      </c>
      <c r="C38" s="85">
        <f>B38</f>
        <v>-239774270.86118752</v>
      </c>
      <c r="D38" s="85">
        <v>0</v>
      </c>
      <c r="E38" s="85">
        <f>D38+B38</f>
        <v>-239774270.86118752</v>
      </c>
      <c r="F38" s="85">
        <f>SUM('SUMMARY REVENUE'!H5:H13)</f>
        <v>-254760162.7900117</v>
      </c>
      <c r="G38" s="448">
        <f>SUM('SUMMARY REVENUE'!I5:I13)</f>
        <v>-270682672.96438748</v>
      </c>
      <c r="H38" s="268"/>
    </row>
    <row r="39" spans="1:8" ht="15.75" thickBot="1" x14ac:dyDescent="0.3">
      <c r="A39" s="419"/>
      <c r="B39" s="457">
        <f>SUM(B37:B38)</f>
        <v>-1921488030.8611875</v>
      </c>
      <c r="C39" s="457">
        <f t="shared" ref="C39:E39" si="7">SUM(C37:C38)</f>
        <v>-239774270.86118752</v>
      </c>
      <c r="D39" s="457">
        <f>SUM(D37:D38)</f>
        <v>-383294536</v>
      </c>
      <c r="E39" s="457">
        <f t="shared" si="7"/>
        <v>-2304782566.8611875</v>
      </c>
      <c r="F39" s="457">
        <f>SUM(F37:F38)</f>
        <v>-2051161079.8300116</v>
      </c>
      <c r="G39" s="458">
        <f>SUM(G37:G38)</f>
        <v>-1917081747.0443873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60" orientation="landscape" r:id="rId1"/>
  <headerFooter alignWithMargins="0">
    <oddFooter>&amp;C&amp;A&amp;RPage &amp;P</oddFooter>
  </headerFooter>
  <legacy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85546875" defaultRowHeight="15" x14ac:dyDescent="0.25"/>
  <sheetData>
    <row r="1" spans="1:1" x14ac:dyDescent="0.25">
      <c r="A1" t="s">
        <v>459</v>
      </c>
    </row>
    <row r="2" spans="1:1" x14ac:dyDescent="0.25">
      <c r="A2" t="s">
        <v>460</v>
      </c>
    </row>
    <row r="3" spans="1:1" x14ac:dyDescent="0.25">
      <c r="A3" t="s">
        <v>462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44"/>
  <sheetViews>
    <sheetView view="pageBreakPreview" topLeftCell="A15" zoomScale="93" zoomScaleNormal="80" zoomScaleSheetLayoutView="93" workbookViewId="0">
      <selection activeCell="F35" sqref="F35"/>
    </sheetView>
  </sheetViews>
  <sheetFormatPr defaultColWidth="9.28515625" defaultRowHeight="15" x14ac:dyDescent="0.25"/>
  <cols>
    <col min="1" max="1" width="39.85546875" style="352" customWidth="1"/>
    <col min="2" max="2" width="17" style="247" hidden="1" customWidth="1"/>
    <col min="3" max="5" width="12.28515625" style="247" customWidth="1"/>
    <col min="6" max="6" width="11.7109375" style="247" customWidth="1"/>
    <col min="7" max="7" width="12.28515625" style="247" customWidth="1"/>
    <col min="8" max="8" width="12" style="247" customWidth="1"/>
    <col min="9" max="9" width="12.7109375" style="352" customWidth="1"/>
    <col min="10" max="16384" width="9.28515625" style="97"/>
  </cols>
  <sheetData>
    <row r="1" spans="1:9" s="93" customFormat="1" hidden="1" x14ac:dyDescent="0.25">
      <c r="A1" s="272"/>
      <c r="B1" s="243"/>
      <c r="C1" s="243"/>
      <c r="D1" s="243"/>
      <c r="E1" s="243"/>
      <c r="F1" s="243"/>
      <c r="G1" s="243"/>
      <c r="H1" s="243"/>
      <c r="I1" s="272"/>
    </row>
    <row r="2" spans="1:9" s="93" customFormat="1" x14ac:dyDescent="0.25">
      <c r="A2" s="252" t="s">
        <v>796</v>
      </c>
      <c r="B2" s="243"/>
      <c r="C2" s="243"/>
      <c r="D2" s="243"/>
      <c r="E2" s="243"/>
      <c r="F2" s="243"/>
      <c r="G2" s="243"/>
      <c r="H2" s="243"/>
      <c r="I2" s="272"/>
    </row>
    <row r="3" spans="1:9" s="93" customFormat="1" ht="15.75" thickBot="1" x14ac:dyDescent="0.3">
      <c r="A3" s="272"/>
      <c r="B3" s="243"/>
      <c r="C3" s="243"/>
      <c r="D3" s="243"/>
      <c r="E3" s="243"/>
      <c r="F3" s="243"/>
      <c r="G3" s="243"/>
      <c r="H3" s="243"/>
      <c r="I3" s="272"/>
    </row>
    <row r="4" spans="1:9" s="93" customFormat="1" ht="57" customHeight="1" thickBot="1" x14ac:dyDescent="0.3">
      <c r="A4" s="872" t="s">
        <v>39</v>
      </c>
      <c r="B4" s="871" t="s">
        <v>393</v>
      </c>
      <c r="C4" s="611" t="s">
        <v>789</v>
      </c>
      <c r="D4" s="604" t="s">
        <v>800</v>
      </c>
      <c r="E4" s="863" t="s">
        <v>87</v>
      </c>
      <c r="F4" s="611" t="s">
        <v>164</v>
      </c>
      <c r="G4" s="611" t="s">
        <v>799</v>
      </c>
      <c r="H4" s="415" t="s">
        <v>556</v>
      </c>
      <c r="I4" s="385" t="s">
        <v>644</v>
      </c>
    </row>
    <row r="5" spans="1:9" s="93" customFormat="1" x14ac:dyDescent="0.25">
      <c r="A5" s="522" t="s">
        <v>2</v>
      </c>
      <c r="B5" s="158">
        <v>2661613</v>
      </c>
      <c r="C5" s="158">
        <f>B5*6.25%+B5</f>
        <v>2827963.8125</v>
      </c>
      <c r="D5" s="158"/>
      <c r="E5" s="358">
        <f>C5-D5</f>
        <v>2827963.8125</v>
      </c>
      <c r="F5" s="158">
        <v>-1460000</v>
      </c>
      <c r="G5" s="158">
        <f t="shared" ref="G5:G13" si="0">C5+F5</f>
        <v>1367963.8125</v>
      </c>
      <c r="H5" s="158">
        <f t="shared" ref="H5:H13" si="1">C5*6.25%+C5</f>
        <v>3004711.55078125</v>
      </c>
      <c r="I5" s="386">
        <f>H5*6.25%+H5</f>
        <v>3192506.0227050781</v>
      </c>
    </row>
    <row r="6" spans="1:9" s="93" customFormat="1" x14ac:dyDescent="0.25">
      <c r="A6" s="253" t="s">
        <v>826</v>
      </c>
      <c r="B6" s="158"/>
      <c r="C6" s="158"/>
      <c r="D6" s="158">
        <v>730397</v>
      </c>
      <c r="E6" s="158">
        <f t="shared" ref="E6:E13" si="2">C6-D6</f>
        <v>-730397</v>
      </c>
      <c r="F6" s="158">
        <v>1001081</v>
      </c>
      <c r="G6" s="158">
        <f t="shared" si="0"/>
        <v>1001081</v>
      </c>
      <c r="H6" s="158"/>
      <c r="I6" s="386"/>
    </row>
    <row r="7" spans="1:9" s="93" customFormat="1" x14ac:dyDescent="0.25">
      <c r="A7" s="253" t="s">
        <v>3</v>
      </c>
      <c r="B7" s="158">
        <v>119979</v>
      </c>
      <c r="C7" s="158">
        <f t="shared" ref="C7:I13" si="3">B7*6.25%+B7</f>
        <v>127477.6875</v>
      </c>
      <c r="D7" s="158"/>
      <c r="E7" s="158">
        <f t="shared" si="2"/>
        <v>127477.6875</v>
      </c>
      <c r="F7" s="158">
        <v>0</v>
      </c>
      <c r="G7" s="158">
        <f t="shared" si="0"/>
        <v>127477.6875</v>
      </c>
      <c r="H7" s="158">
        <f t="shared" si="1"/>
        <v>135445.04296875</v>
      </c>
      <c r="I7" s="386">
        <f t="shared" si="3"/>
        <v>143910.35815429688</v>
      </c>
    </row>
    <row r="8" spans="1:9" s="93" customFormat="1" x14ac:dyDescent="0.25">
      <c r="A8" s="253" t="s">
        <v>4</v>
      </c>
      <c r="B8" s="158">
        <v>28800</v>
      </c>
      <c r="C8" s="158">
        <f t="shared" si="3"/>
        <v>30600</v>
      </c>
      <c r="D8" s="158"/>
      <c r="E8" s="158">
        <f t="shared" si="2"/>
        <v>30600</v>
      </c>
      <c r="F8" s="158">
        <v>-12000</v>
      </c>
      <c r="G8" s="158">
        <f t="shared" si="0"/>
        <v>18600</v>
      </c>
      <c r="H8" s="158">
        <f t="shared" si="1"/>
        <v>32512.5</v>
      </c>
      <c r="I8" s="386">
        <f t="shared" si="3"/>
        <v>34544.53125</v>
      </c>
    </row>
    <row r="9" spans="1:9" s="93" customFormat="1" x14ac:dyDescent="0.25">
      <c r="A9" s="253" t="s">
        <v>824</v>
      </c>
      <c r="B9" s="158"/>
      <c r="C9" s="158"/>
      <c r="D9" s="158">
        <v>6888</v>
      </c>
      <c r="E9" s="158">
        <f t="shared" si="2"/>
        <v>-6888</v>
      </c>
      <c r="F9" s="158">
        <v>12000</v>
      </c>
      <c r="G9" s="158">
        <f t="shared" si="0"/>
        <v>12000</v>
      </c>
      <c r="H9" s="158"/>
      <c r="I9" s="386"/>
    </row>
    <row r="10" spans="1:9" s="93" customFormat="1" x14ac:dyDescent="0.25">
      <c r="A10" s="253" t="s">
        <v>173</v>
      </c>
      <c r="B10" s="158"/>
      <c r="C10" s="158">
        <v>174887</v>
      </c>
      <c r="D10" s="158">
        <v>95157</v>
      </c>
      <c r="E10" s="158">
        <f t="shared" si="2"/>
        <v>79730</v>
      </c>
      <c r="F10" s="158">
        <v>0</v>
      </c>
      <c r="G10" s="158">
        <f t="shared" si="0"/>
        <v>174887</v>
      </c>
      <c r="H10" s="158">
        <f t="shared" si="1"/>
        <v>185817.4375</v>
      </c>
      <c r="I10" s="386">
        <f>H10*6.25%+H10</f>
        <v>197431.02734375</v>
      </c>
    </row>
    <row r="11" spans="1:9" s="93" customFormat="1" x14ac:dyDescent="0.25">
      <c r="A11" s="253" t="s">
        <v>822</v>
      </c>
      <c r="B11" s="158"/>
      <c r="C11" s="158"/>
      <c r="D11" s="158"/>
      <c r="E11" s="158">
        <f t="shared" si="2"/>
        <v>0</v>
      </c>
      <c r="F11" s="158"/>
      <c r="G11" s="158">
        <f t="shared" si="0"/>
        <v>0</v>
      </c>
      <c r="H11" s="158"/>
      <c r="I11" s="386"/>
    </row>
    <row r="12" spans="1:9" s="93" customFormat="1" x14ac:dyDescent="0.25">
      <c r="A12" s="253" t="s">
        <v>825</v>
      </c>
      <c r="B12" s="158"/>
      <c r="C12" s="158"/>
      <c r="D12" s="158">
        <v>282870</v>
      </c>
      <c r="E12" s="158">
        <f t="shared" si="2"/>
        <v>-282870</v>
      </c>
      <c r="F12" s="158">
        <v>400000</v>
      </c>
      <c r="G12" s="158">
        <f t="shared" si="0"/>
        <v>400000</v>
      </c>
      <c r="H12" s="158"/>
      <c r="I12" s="386"/>
    </row>
    <row r="13" spans="1:9" s="93" customFormat="1" x14ac:dyDescent="0.25">
      <c r="A13" s="253" t="s">
        <v>5</v>
      </c>
      <c r="B13" s="158">
        <v>1039005</v>
      </c>
      <c r="C13" s="158">
        <f t="shared" si="3"/>
        <v>1103942.8125</v>
      </c>
      <c r="D13" s="158"/>
      <c r="E13" s="158">
        <f t="shared" si="2"/>
        <v>1103942.8125</v>
      </c>
      <c r="F13" s="158">
        <v>-600000</v>
      </c>
      <c r="G13" s="158">
        <f t="shared" si="0"/>
        <v>503942.8125</v>
      </c>
      <c r="H13" s="158">
        <f t="shared" si="1"/>
        <v>1172939.23828125</v>
      </c>
      <c r="I13" s="386">
        <f t="shared" si="3"/>
        <v>1246247.9406738281</v>
      </c>
    </row>
    <row r="14" spans="1:9" s="93" customFormat="1" x14ac:dyDescent="0.25">
      <c r="A14" s="424" t="s">
        <v>40</v>
      </c>
      <c r="B14" s="246">
        <f t="shared" ref="B14:I14" si="4">SUM(B5:B13)</f>
        <v>3849397</v>
      </c>
      <c r="C14" s="246">
        <f t="shared" si="4"/>
        <v>4264871.3125</v>
      </c>
      <c r="D14" s="246">
        <f t="shared" si="4"/>
        <v>1115312</v>
      </c>
      <c r="E14" s="246">
        <f t="shared" si="4"/>
        <v>3149559.3125</v>
      </c>
      <c r="F14" s="246">
        <f t="shared" si="4"/>
        <v>-658919</v>
      </c>
      <c r="G14" s="246">
        <f t="shared" si="4"/>
        <v>3605952.3125</v>
      </c>
      <c r="H14" s="246">
        <f t="shared" si="4"/>
        <v>4531425.76953125</v>
      </c>
      <c r="I14" s="387">
        <f t="shared" si="4"/>
        <v>4814639.8801269531</v>
      </c>
    </row>
    <row r="15" spans="1:9" s="93" customFormat="1" x14ac:dyDescent="0.25">
      <c r="A15" s="253"/>
      <c r="B15" s="158"/>
      <c r="C15" s="158"/>
      <c r="D15" s="158"/>
      <c r="E15" s="158"/>
      <c r="F15" s="158"/>
      <c r="G15" s="158"/>
      <c r="H15" s="158"/>
      <c r="I15" s="386">
        <f>H15*6.9%+H15</f>
        <v>0</v>
      </c>
    </row>
    <row r="16" spans="1:9" s="93" customFormat="1" x14ac:dyDescent="0.25">
      <c r="A16" s="253" t="s">
        <v>6</v>
      </c>
      <c r="B16" s="158">
        <v>139356</v>
      </c>
      <c r="C16" s="158">
        <f>B16*6.25%+B16</f>
        <v>148065.75</v>
      </c>
      <c r="D16" s="158"/>
      <c r="E16" s="158">
        <f t="shared" ref="E16:E23" si="5">C16-D16</f>
        <v>148065.75</v>
      </c>
      <c r="F16" s="158">
        <v>-82000</v>
      </c>
      <c r="G16" s="158">
        <f>C16+F16</f>
        <v>66065.75</v>
      </c>
      <c r="H16" s="158">
        <f>C16*6.25%+C16</f>
        <v>157319.859375</v>
      </c>
      <c r="I16" s="386">
        <f>H16*6.25%+H16</f>
        <v>167152.3505859375</v>
      </c>
    </row>
    <row r="17" spans="1:9" s="93" customFormat="1" x14ac:dyDescent="0.25">
      <c r="A17" s="253" t="s">
        <v>828</v>
      </c>
      <c r="B17" s="158"/>
      <c r="C17" s="158"/>
      <c r="D17" s="158">
        <v>41724</v>
      </c>
      <c r="E17" s="158">
        <f t="shared" si="5"/>
        <v>-41724</v>
      </c>
      <c r="F17" s="158">
        <v>82000</v>
      </c>
      <c r="G17" s="158">
        <f t="shared" ref="G17:G24" si="6">C17+F17</f>
        <v>82000</v>
      </c>
      <c r="H17" s="158"/>
      <c r="I17" s="386"/>
    </row>
    <row r="18" spans="1:9" s="469" customFormat="1" x14ac:dyDescent="0.25">
      <c r="A18" s="253" t="s">
        <v>7</v>
      </c>
      <c r="B18" s="158">
        <v>26616</v>
      </c>
      <c r="C18" s="158">
        <f t="shared" ref="C18:I20" si="7">B18*6.25%+B18</f>
        <v>28279.5</v>
      </c>
      <c r="D18" s="158"/>
      <c r="E18" s="158">
        <f t="shared" si="5"/>
        <v>28279.5</v>
      </c>
      <c r="F18" s="158">
        <v>-6600</v>
      </c>
      <c r="G18" s="158">
        <f t="shared" si="6"/>
        <v>21679.5</v>
      </c>
      <c r="H18" s="158">
        <f>C18*6.25%+C18</f>
        <v>30046.96875</v>
      </c>
      <c r="I18" s="386">
        <f t="shared" si="7"/>
        <v>31924.904296875</v>
      </c>
    </row>
    <row r="19" spans="1:9" s="469" customFormat="1" x14ac:dyDescent="0.25">
      <c r="A19" s="253" t="s">
        <v>830</v>
      </c>
      <c r="B19" s="158"/>
      <c r="C19" s="158"/>
      <c r="D19" s="158">
        <v>3258</v>
      </c>
      <c r="E19" s="158">
        <f t="shared" si="5"/>
        <v>-3258</v>
      </c>
      <c r="F19" s="158">
        <v>6600</v>
      </c>
      <c r="G19" s="158">
        <f t="shared" si="6"/>
        <v>6600</v>
      </c>
      <c r="H19" s="158"/>
      <c r="I19" s="386"/>
    </row>
    <row r="20" spans="1:9" s="469" customFormat="1" x14ac:dyDescent="0.25">
      <c r="A20" s="253" t="s">
        <v>8</v>
      </c>
      <c r="B20" s="158">
        <v>316744</v>
      </c>
      <c r="C20" s="158">
        <f t="shared" si="7"/>
        <v>336540.5</v>
      </c>
      <c r="D20" s="158"/>
      <c r="E20" s="158">
        <f t="shared" si="5"/>
        <v>336540.5</v>
      </c>
      <c r="F20" s="158">
        <v>-212000</v>
      </c>
      <c r="G20" s="158">
        <f t="shared" si="6"/>
        <v>124540.5</v>
      </c>
      <c r="H20" s="158">
        <f>C20*6.25%+C20</f>
        <v>357574.28125</v>
      </c>
      <c r="I20" s="386">
        <f t="shared" si="7"/>
        <v>379922.673828125</v>
      </c>
    </row>
    <row r="21" spans="1:9" s="469" customFormat="1" x14ac:dyDescent="0.25">
      <c r="A21" s="253" t="s">
        <v>827</v>
      </c>
      <c r="B21" s="158"/>
      <c r="C21" s="158"/>
      <c r="D21" s="158">
        <v>106357</v>
      </c>
      <c r="E21" s="158">
        <f t="shared" si="5"/>
        <v>-106357</v>
      </c>
      <c r="F21" s="158">
        <v>212000</v>
      </c>
      <c r="G21" s="158">
        <f t="shared" si="6"/>
        <v>212000</v>
      </c>
      <c r="H21" s="158"/>
      <c r="I21" s="386"/>
    </row>
    <row r="22" spans="1:9" s="469" customFormat="1" x14ac:dyDescent="0.25">
      <c r="A22" s="253" t="s">
        <v>823</v>
      </c>
      <c r="B22" s="158"/>
      <c r="C22" s="158"/>
      <c r="D22" s="158">
        <v>6000</v>
      </c>
      <c r="E22" s="158">
        <f t="shared" si="5"/>
        <v>-6000</v>
      </c>
      <c r="F22" s="158">
        <v>12000</v>
      </c>
      <c r="G22" s="158">
        <f t="shared" si="6"/>
        <v>12000</v>
      </c>
      <c r="H22" s="158"/>
      <c r="I22" s="386"/>
    </row>
    <row r="23" spans="1:9" s="474" customFormat="1" x14ac:dyDescent="0.25">
      <c r="A23" s="253" t="s">
        <v>396</v>
      </c>
      <c r="B23" s="158"/>
      <c r="C23" s="158">
        <v>17400</v>
      </c>
      <c r="D23" s="158"/>
      <c r="E23" s="158">
        <f t="shared" si="5"/>
        <v>17400</v>
      </c>
      <c r="F23" s="158">
        <v>-12000</v>
      </c>
      <c r="G23" s="158">
        <f t="shared" si="6"/>
        <v>5400</v>
      </c>
      <c r="H23" s="158">
        <v>18600.599999999999</v>
      </c>
      <c r="I23" s="386">
        <v>19884.041399999998</v>
      </c>
    </row>
    <row r="24" spans="1:9" s="759" customFormat="1" x14ac:dyDescent="0.25">
      <c r="A24" s="785" t="s">
        <v>872</v>
      </c>
      <c r="B24" s="158"/>
      <c r="C24" s="158"/>
      <c r="D24" s="158"/>
      <c r="E24" s="158"/>
      <c r="F24" s="158">
        <v>270</v>
      </c>
      <c r="G24" s="158">
        <f t="shared" si="6"/>
        <v>270</v>
      </c>
      <c r="H24" s="158"/>
      <c r="I24" s="239"/>
    </row>
    <row r="25" spans="1:9" s="93" customFormat="1" x14ac:dyDescent="0.25">
      <c r="A25" s="424" t="s">
        <v>41</v>
      </c>
      <c r="B25" s="246">
        <f>SUM(B16:B23)</f>
        <v>482716</v>
      </c>
      <c r="C25" s="246">
        <f>SUM(C16:C24)</f>
        <v>530285.75</v>
      </c>
      <c r="D25" s="246">
        <f t="shared" ref="D25:G25" si="8">SUM(D16:D24)</f>
        <v>157339</v>
      </c>
      <c r="E25" s="246">
        <f t="shared" si="8"/>
        <v>372946.75</v>
      </c>
      <c r="F25" s="246">
        <f t="shared" si="8"/>
        <v>270</v>
      </c>
      <c r="G25" s="246">
        <f t="shared" si="8"/>
        <v>530555.75</v>
      </c>
      <c r="H25" s="246">
        <f>SUM(H16:H23)</f>
        <v>563541.70937499998</v>
      </c>
      <c r="I25" s="246">
        <f>SUM(I16:I23)</f>
        <v>598883.97011093749</v>
      </c>
    </row>
    <row r="26" spans="1:9" s="93" customFormat="1" x14ac:dyDescent="0.25">
      <c r="A26" s="253"/>
      <c r="B26" s="158"/>
      <c r="C26" s="158"/>
      <c r="D26" s="158"/>
      <c r="E26" s="158"/>
      <c r="F26" s="158"/>
      <c r="G26" s="158"/>
      <c r="H26" s="158"/>
      <c r="I26" s="386">
        <f>H26*6.9%+H26</f>
        <v>0</v>
      </c>
    </row>
    <row r="27" spans="1:9" s="470" customFormat="1" x14ac:dyDescent="0.25">
      <c r="A27" s="253" t="s">
        <v>211</v>
      </c>
      <c r="B27" s="160">
        <v>121160</v>
      </c>
      <c r="C27" s="158">
        <f>B27*4.5%+B27</f>
        <v>126612.2</v>
      </c>
      <c r="D27" s="158"/>
      <c r="E27" s="158">
        <f t="shared" ref="E27" si="9">C27-D27</f>
        <v>126612.2</v>
      </c>
      <c r="F27" s="158">
        <v>0</v>
      </c>
      <c r="G27" s="158">
        <f>C27+F27</f>
        <v>126612.2</v>
      </c>
      <c r="H27" s="158">
        <f>C27*6.25%+C27</f>
        <v>134525.46249999999</v>
      </c>
      <c r="I27" s="386">
        <f>H27*6.25%+H27</f>
        <v>142933.30390624999</v>
      </c>
    </row>
    <row r="28" spans="1:9" x14ac:dyDescent="0.25">
      <c r="A28" s="424" t="s">
        <v>211</v>
      </c>
      <c r="B28" s="246">
        <f>B27</f>
        <v>121160</v>
      </c>
      <c r="C28" s="246">
        <f>C27</f>
        <v>126612.2</v>
      </c>
      <c r="D28" s="246">
        <f>D27</f>
        <v>0</v>
      </c>
      <c r="E28" s="246">
        <f>E27</f>
        <v>126612.2</v>
      </c>
      <c r="F28" s="246">
        <f t="shared" ref="F28:G28" si="10">F27</f>
        <v>0</v>
      </c>
      <c r="G28" s="246">
        <f t="shared" si="10"/>
        <v>126612.2</v>
      </c>
      <c r="H28" s="246">
        <f>H27</f>
        <v>134525.46249999999</v>
      </c>
      <c r="I28" s="387">
        <f>I27</f>
        <v>142933.30390624999</v>
      </c>
    </row>
    <row r="29" spans="1:9" x14ac:dyDescent="0.25">
      <c r="A29" s="477"/>
      <c r="B29" s="246"/>
      <c r="C29" s="246"/>
      <c r="D29" s="246"/>
      <c r="E29" s="246"/>
      <c r="F29" s="246"/>
      <c r="G29" s="246"/>
      <c r="H29" s="246"/>
      <c r="I29" s="387"/>
    </row>
    <row r="30" spans="1:9" s="352" customFormat="1" x14ac:dyDescent="0.25">
      <c r="A30" s="271" t="s">
        <v>35</v>
      </c>
      <c r="B30" s="158">
        <v>23000000</v>
      </c>
      <c r="C30" s="158">
        <v>29000000</v>
      </c>
      <c r="D30" s="158">
        <v>21428834</v>
      </c>
      <c r="E30" s="158">
        <f t="shared" ref="E30:E31" si="11">C30-D30</f>
        <v>7571166</v>
      </c>
      <c r="F30" s="805">
        <v>5000000</v>
      </c>
      <c r="G30" s="158">
        <f>C30+F30</f>
        <v>34000000</v>
      </c>
      <c r="H30" s="158">
        <v>30000000</v>
      </c>
      <c r="I30" s="386">
        <v>35000000</v>
      </c>
    </row>
    <row r="31" spans="1:9" s="470" customFormat="1" x14ac:dyDescent="0.25">
      <c r="A31" s="253" t="s">
        <v>751</v>
      </c>
      <c r="B31" s="158">
        <v>500000</v>
      </c>
      <c r="C31" s="158">
        <v>1500000</v>
      </c>
      <c r="D31" s="158">
        <v>644451</v>
      </c>
      <c r="E31" s="158">
        <f t="shared" si="11"/>
        <v>855549</v>
      </c>
      <c r="F31" s="158">
        <v>0</v>
      </c>
      <c r="G31" s="158">
        <f>C31+F31</f>
        <v>1500000</v>
      </c>
      <c r="H31" s="158">
        <v>1200000</v>
      </c>
      <c r="I31" s="386">
        <v>0</v>
      </c>
    </row>
    <row r="32" spans="1:9" x14ac:dyDescent="0.25">
      <c r="A32" s="518" t="s">
        <v>69</v>
      </c>
      <c r="B32" s="158"/>
      <c r="C32" s="246">
        <f>SUM(C30:C31)</f>
        <v>30500000</v>
      </c>
      <c r="D32" s="246">
        <f>SUM(D30:D31)</f>
        <v>22073285</v>
      </c>
      <c r="E32" s="246">
        <f>SUM(E30:E31)</f>
        <v>8426715</v>
      </c>
      <c r="F32" s="806">
        <f t="shared" ref="F32:G32" si="12">SUM(F30:F31)</f>
        <v>5000000</v>
      </c>
      <c r="G32" s="246">
        <f t="shared" si="12"/>
        <v>35500000</v>
      </c>
      <c r="H32" s="246">
        <f>SUM(H30:H31)</f>
        <v>31200000</v>
      </c>
      <c r="I32" s="387">
        <f>SUM(I30:I31)</f>
        <v>35000000</v>
      </c>
    </row>
    <row r="33" spans="1:9" x14ac:dyDescent="0.25">
      <c r="A33" s="477"/>
      <c r="B33" s="246"/>
      <c r="C33" s="246"/>
      <c r="D33" s="246"/>
      <c r="E33" s="246"/>
      <c r="F33" s="246"/>
      <c r="G33" s="246"/>
      <c r="H33" s="246"/>
      <c r="I33" s="386">
        <f>H33*6.9%+H33</f>
        <v>0</v>
      </c>
    </row>
    <row r="34" spans="1:9" s="469" customFormat="1" x14ac:dyDescent="0.25">
      <c r="A34" s="253" t="s">
        <v>59</v>
      </c>
      <c r="B34" s="158">
        <v>15000</v>
      </c>
      <c r="C34" s="158">
        <f>B34*4.5%+B34</f>
        <v>15675</v>
      </c>
      <c r="D34" s="158"/>
      <c r="E34" s="158">
        <f t="shared" ref="E34:E41" si="13">C34-D34</f>
        <v>15675</v>
      </c>
      <c r="F34" s="158">
        <v>-15675</v>
      </c>
      <c r="G34" s="158">
        <f t="shared" ref="G34:G41" si="14">C34+F34</f>
        <v>0</v>
      </c>
      <c r="H34" s="158">
        <f>C34*6.25%+C34</f>
        <v>16654.6875</v>
      </c>
      <c r="I34" s="386">
        <f>H34*6.25%+H34</f>
        <v>17695.60546875</v>
      </c>
    </row>
    <row r="35" spans="1:9" s="469" customFormat="1" x14ac:dyDescent="0.25">
      <c r="A35" s="253" t="s">
        <v>1</v>
      </c>
      <c r="B35" s="158">
        <v>500000</v>
      </c>
      <c r="C35" s="158">
        <f>B35*4.5%+B35</f>
        <v>522500</v>
      </c>
      <c r="D35" s="158">
        <v>425176</v>
      </c>
      <c r="E35" s="158">
        <f t="shared" si="13"/>
        <v>97324</v>
      </c>
      <c r="F35" s="158"/>
      <c r="G35" s="158">
        <f t="shared" si="14"/>
        <v>522500</v>
      </c>
      <c r="H35" s="158">
        <f>C35*6.25%+C35</f>
        <v>555156.25</v>
      </c>
      <c r="I35" s="386">
        <f>H35*6.25%+H35</f>
        <v>589853.515625</v>
      </c>
    </row>
    <row r="36" spans="1:9" s="93" customFormat="1" x14ac:dyDescent="0.25">
      <c r="A36" s="253" t="s">
        <v>466</v>
      </c>
      <c r="B36" s="158">
        <v>1000000</v>
      </c>
      <c r="C36" s="158">
        <v>0</v>
      </c>
      <c r="D36" s="158">
        <v>190385</v>
      </c>
      <c r="E36" s="158">
        <f t="shared" si="13"/>
        <v>-190385</v>
      </c>
      <c r="F36" s="158">
        <v>190385</v>
      </c>
      <c r="G36" s="158">
        <f t="shared" si="14"/>
        <v>190385</v>
      </c>
      <c r="H36" s="158">
        <v>0</v>
      </c>
      <c r="I36" s="386">
        <v>0</v>
      </c>
    </row>
    <row r="37" spans="1:9" s="469" customFormat="1" x14ac:dyDescent="0.25">
      <c r="A37" s="253" t="s">
        <v>575</v>
      </c>
      <c r="B37" s="158">
        <v>30000</v>
      </c>
      <c r="C37" s="158">
        <v>250000</v>
      </c>
      <c r="D37" s="158"/>
      <c r="E37" s="158">
        <f t="shared" si="13"/>
        <v>250000</v>
      </c>
      <c r="F37" s="158">
        <v>-150000</v>
      </c>
      <c r="G37" s="158">
        <f t="shared" si="14"/>
        <v>100000</v>
      </c>
      <c r="H37" s="158">
        <v>250000</v>
      </c>
      <c r="I37" s="386">
        <v>250000</v>
      </c>
    </row>
    <row r="38" spans="1:9" s="469" customFormat="1" x14ac:dyDescent="0.25">
      <c r="A38" s="253" t="s">
        <v>754</v>
      </c>
      <c r="B38" s="158"/>
      <c r="C38" s="158">
        <v>250000</v>
      </c>
      <c r="D38" s="158"/>
      <c r="E38" s="158">
        <f t="shared" si="13"/>
        <v>250000</v>
      </c>
      <c r="F38" s="158">
        <v>-150000</v>
      </c>
      <c r="G38" s="158">
        <f t="shared" si="14"/>
        <v>100000</v>
      </c>
      <c r="H38" s="158">
        <v>280000</v>
      </c>
      <c r="I38" s="386">
        <v>300000</v>
      </c>
    </row>
    <row r="39" spans="1:9" s="469" customFormat="1" x14ac:dyDescent="0.25">
      <c r="A39" s="253" t="s">
        <v>760</v>
      </c>
      <c r="B39" s="158"/>
      <c r="C39" s="158">
        <v>3800000</v>
      </c>
      <c r="D39" s="158"/>
      <c r="E39" s="158">
        <f t="shared" si="13"/>
        <v>3800000</v>
      </c>
      <c r="F39" s="805">
        <v>-3300000</v>
      </c>
      <c r="G39" s="805">
        <f t="shared" si="14"/>
        <v>500000</v>
      </c>
      <c r="H39" s="158">
        <v>4500000</v>
      </c>
      <c r="I39" s="386">
        <v>5000000</v>
      </c>
    </row>
    <row r="40" spans="1:9" s="469" customFormat="1" x14ac:dyDescent="0.25">
      <c r="A40" s="253" t="s">
        <v>9</v>
      </c>
      <c r="B40" s="158"/>
      <c r="C40" s="158">
        <v>28280</v>
      </c>
      <c r="D40" s="158">
        <v>7989</v>
      </c>
      <c r="E40" s="158">
        <f t="shared" si="13"/>
        <v>20291</v>
      </c>
      <c r="F40" s="158">
        <v>-10000</v>
      </c>
      <c r="G40" s="158">
        <f t="shared" si="14"/>
        <v>18280</v>
      </c>
      <c r="H40" s="158">
        <f>C40*6.25%+C40</f>
        <v>30047.5</v>
      </c>
      <c r="I40" s="386">
        <f>H40*6.25%+H40</f>
        <v>31925.46875</v>
      </c>
    </row>
    <row r="41" spans="1:9" s="469" customFormat="1" x14ac:dyDescent="0.25">
      <c r="A41" s="710" t="s">
        <v>829</v>
      </c>
      <c r="B41" s="158"/>
      <c r="C41" s="158"/>
      <c r="D41" s="158">
        <v>4875</v>
      </c>
      <c r="E41" s="158">
        <f t="shared" si="13"/>
        <v>-4875</v>
      </c>
      <c r="F41" s="158">
        <v>8000</v>
      </c>
      <c r="G41" s="158">
        <f t="shared" si="14"/>
        <v>8000</v>
      </c>
      <c r="H41" s="158"/>
      <c r="I41" s="386"/>
    </row>
    <row r="42" spans="1:9" s="93" customFormat="1" x14ac:dyDescent="0.25">
      <c r="A42" s="424" t="s">
        <v>42</v>
      </c>
      <c r="B42" s="246">
        <f t="shared" ref="B42:I42" si="15">SUM(B34:B40)</f>
        <v>1545000</v>
      </c>
      <c r="C42" s="246">
        <f>SUM(C34:C41)</f>
        <v>4866455</v>
      </c>
      <c r="D42" s="246">
        <f t="shared" ref="D42:F42" si="16">SUM(D34:D41)</f>
        <v>628425</v>
      </c>
      <c r="E42" s="246">
        <f t="shared" si="16"/>
        <v>4238030</v>
      </c>
      <c r="F42" s="246">
        <f t="shared" si="16"/>
        <v>-3427290</v>
      </c>
      <c r="G42" s="246">
        <f t="shared" si="15"/>
        <v>1431165</v>
      </c>
      <c r="H42" s="246">
        <f t="shared" si="15"/>
        <v>5631858.4375</v>
      </c>
      <c r="I42" s="387">
        <f t="shared" si="15"/>
        <v>6189474.58984375</v>
      </c>
    </row>
    <row r="43" spans="1:9" s="93" customFormat="1" x14ac:dyDescent="0.25">
      <c r="A43" s="253"/>
      <c r="B43" s="158"/>
      <c r="C43" s="158"/>
      <c r="D43" s="158"/>
      <c r="E43" s="158"/>
      <c r="F43" s="158"/>
      <c r="G43" s="158"/>
      <c r="H43" s="158"/>
      <c r="I43" s="386">
        <f>H43*6.9%+H43</f>
        <v>0</v>
      </c>
    </row>
    <row r="44" spans="1:9" s="93" customFormat="1" ht="15.75" thickBot="1" x14ac:dyDescent="0.3">
      <c r="A44" s="426" t="s">
        <v>46</v>
      </c>
      <c r="B44" s="392">
        <f>B14+B25+B28+B42</f>
        <v>5998273</v>
      </c>
      <c r="C44" s="392">
        <f t="shared" ref="C44:I44" si="17">C14+C25+C28+C32+C42</f>
        <v>40288224.262500003</v>
      </c>
      <c r="D44" s="392">
        <f t="shared" si="17"/>
        <v>23974361</v>
      </c>
      <c r="E44" s="392">
        <f t="shared" si="17"/>
        <v>16313863.262499999</v>
      </c>
      <c r="F44" s="392">
        <f t="shared" si="17"/>
        <v>914061</v>
      </c>
      <c r="G44" s="392">
        <f t="shared" si="17"/>
        <v>41194285.262500003</v>
      </c>
      <c r="H44" s="392">
        <f t="shared" si="17"/>
        <v>42061351.37890625</v>
      </c>
      <c r="I44" s="393">
        <f t="shared" si="17"/>
        <v>46745931.743987888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0" orientation="landscape" r:id="rId1"/>
  <headerFooter differentOddEven="1" differentFirst="1">
    <oddHeader>&amp;Cpage 2</oddHeader>
    <evenFooter>&amp;A&amp;RPage &amp;P</evenFooter>
    <firstFooter>&amp;C&amp;A&amp;RPage &amp;P</firstFooter>
  </headerFooter>
  <legacy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/>
  <dimension ref="A1:K47"/>
  <sheetViews>
    <sheetView workbookViewId="0">
      <selection activeCell="J44" sqref="J44"/>
    </sheetView>
  </sheetViews>
  <sheetFormatPr defaultColWidth="8.85546875" defaultRowHeight="15" x14ac:dyDescent="0.25"/>
  <cols>
    <col min="1" max="1" width="4.28515625" customWidth="1"/>
    <col min="2" max="2" width="4" customWidth="1"/>
    <col min="3" max="3" width="5.28515625" customWidth="1"/>
    <col min="4" max="4" width="35.7109375" customWidth="1"/>
    <col min="5" max="5" width="18.28515625" style="7" customWidth="1"/>
    <col min="6" max="7" width="18.28515625" style="7" hidden="1" customWidth="1"/>
    <col min="8" max="9" width="18.28515625" style="7" customWidth="1"/>
    <col min="10" max="10" width="19.28515625" style="7" customWidth="1"/>
    <col min="11" max="11" width="19.42578125" style="7" customWidth="1"/>
  </cols>
  <sheetData>
    <row r="1" spans="1:11" x14ac:dyDescent="0.25">
      <c r="A1" s="2"/>
      <c r="B1" s="2"/>
      <c r="C1" s="2"/>
      <c r="D1" s="2"/>
      <c r="E1" s="6"/>
      <c r="F1" s="6"/>
      <c r="G1" s="6"/>
      <c r="H1" s="6"/>
      <c r="I1" s="6"/>
      <c r="J1" s="6"/>
      <c r="K1" s="6"/>
    </row>
    <row r="2" spans="1:11" ht="18.75" x14ac:dyDescent="0.3">
      <c r="A2" s="4" t="s">
        <v>136</v>
      </c>
      <c r="B2" s="4"/>
      <c r="C2" s="4"/>
      <c r="D2" s="4"/>
      <c r="E2" s="8"/>
      <c r="F2" s="8"/>
      <c r="G2" s="8"/>
      <c r="H2" s="8"/>
      <c r="I2" s="8"/>
      <c r="J2" s="8"/>
      <c r="K2" s="8"/>
    </row>
    <row r="3" spans="1:11" x14ac:dyDescent="0.25">
      <c r="A3" s="2"/>
      <c r="B3" s="2"/>
      <c r="C3" s="2"/>
      <c r="D3" s="2"/>
      <c r="E3" s="6"/>
      <c r="F3" s="6"/>
      <c r="G3" s="6"/>
      <c r="H3" s="6"/>
      <c r="I3" s="6"/>
      <c r="J3" s="6"/>
      <c r="K3" s="6"/>
    </row>
    <row r="4" spans="1:11" ht="56.25" x14ac:dyDescent="0.3">
      <c r="A4" s="905" t="s">
        <v>47</v>
      </c>
      <c r="B4" s="905"/>
      <c r="C4" s="905"/>
      <c r="D4" s="62" t="s">
        <v>39</v>
      </c>
      <c r="E4" s="43" t="s">
        <v>124</v>
      </c>
      <c r="F4" s="37" t="s">
        <v>163</v>
      </c>
      <c r="G4" s="37" t="s">
        <v>87</v>
      </c>
      <c r="H4" s="66" t="s">
        <v>164</v>
      </c>
      <c r="I4" s="66" t="s">
        <v>165</v>
      </c>
      <c r="J4" s="43" t="s">
        <v>125</v>
      </c>
      <c r="K4" s="43" t="s">
        <v>126</v>
      </c>
    </row>
    <row r="5" spans="1:11" x14ac:dyDescent="0.25">
      <c r="A5" s="53">
        <v>20</v>
      </c>
      <c r="B5" s="53">
        <v>8</v>
      </c>
      <c r="C5" s="54">
        <v>3300</v>
      </c>
      <c r="D5" s="55" t="s">
        <v>73</v>
      </c>
      <c r="E5" s="51">
        <v>-2000000</v>
      </c>
      <c r="F5" s="51">
        <v>0</v>
      </c>
      <c r="G5" s="40">
        <f>E5-F5</f>
        <v>-2000000</v>
      </c>
      <c r="H5" s="41">
        <f>I5-E5</f>
        <v>2000000</v>
      </c>
      <c r="I5" s="51">
        <v>0</v>
      </c>
      <c r="J5" s="51">
        <v>0</v>
      </c>
      <c r="K5" s="51">
        <v>0</v>
      </c>
    </row>
    <row r="6" spans="1:11" x14ac:dyDescent="0.25">
      <c r="A6" s="48">
        <v>20</v>
      </c>
      <c r="B6" s="48">
        <v>8</v>
      </c>
      <c r="C6" s="49">
        <v>3310</v>
      </c>
      <c r="D6" s="50" t="s">
        <v>74</v>
      </c>
      <c r="E6" s="51">
        <v>-100000</v>
      </c>
      <c r="F6" s="51">
        <v>-292971.40000000002</v>
      </c>
      <c r="G6" s="40">
        <f t="shared" ref="G6:G43" si="0">E6-F6</f>
        <v>192971.40000000002</v>
      </c>
      <c r="H6" s="41">
        <f>I6-E6</f>
        <v>-450000</v>
      </c>
      <c r="I6" s="51">
        <v>-550000</v>
      </c>
      <c r="J6" s="51">
        <v>0</v>
      </c>
      <c r="K6" s="51">
        <v>0</v>
      </c>
    </row>
    <row r="7" spans="1:11" x14ac:dyDescent="0.25">
      <c r="A7" s="48">
        <v>20</v>
      </c>
      <c r="B7" s="48">
        <v>8</v>
      </c>
      <c r="C7" s="49">
        <v>3315</v>
      </c>
      <c r="D7" s="50" t="s">
        <v>75</v>
      </c>
      <c r="E7" s="51">
        <v>-6500000</v>
      </c>
      <c r="F7" s="51">
        <v>-46676.44</v>
      </c>
      <c r="G7" s="40">
        <f t="shared" si="0"/>
        <v>-6453323.5599999996</v>
      </c>
      <c r="H7" s="41">
        <f>I7-E7</f>
        <v>6448000</v>
      </c>
      <c r="I7" s="51">
        <v>-52000</v>
      </c>
      <c r="J7" s="51">
        <v>0</v>
      </c>
      <c r="K7" s="51">
        <v>0</v>
      </c>
    </row>
    <row r="8" spans="1:11" x14ac:dyDescent="0.25">
      <c r="A8" s="60" t="s">
        <v>66</v>
      </c>
      <c r="B8" s="60"/>
      <c r="C8" s="60"/>
      <c r="D8" s="60"/>
      <c r="E8" s="44">
        <f t="shared" ref="E8:K8" si="1">SUM(E5:E7)</f>
        <v>-8600000</v>
      </c>
      <c r="F8" s="44">
        <f t="shared" si="1"/>
        <v>-339647.84</v>
      </c>
      <c r="G8" s="44">
        <f t="shared" si="1"/>
        <v>-8260352.1600000001</v>
      </c>
      <c r="H8" s="44">
        <f t="shared" si="1"/>
        <v>7998000</v>
      </c>
      <c r="I8" s="44">
        <f t="shared" si="1"/>
        <v>-602000</v>
      </c>
      <c r="J8" s="44">
        <f t="shared" si="1"/>
        <v>0</v>
      </c>
      <c r="K8" s="44">
        <f t="shared" si="1"/>
        <v>0</v>
      </c>
    </row>
    <row r="9" spans="1:11" x14ac:dyDescent="0.25">
      <c r="A9" s="50"/>
      <c r="B9" s="50"/>
      <c r="C9" s="50"/>
      <c r="D9" s="50"/>
      <c r="E9" s="51"/>
      <c r="F9" s="51"/>
      <c r="G9" s="40">
        <f t="shared" si="0"/>
        <v>0</v>
      </c>
      <c r="H9" s="51"/>
      <c r="I9" s="51"/>
      <c r="J9" s="51"/>
      <c r="K9" s="51"/>
    </row>
    <row r="10" spans="1:11" x14ac:dyDescent="0.25">
      <c r="A10" s="48">
        <v>20</v>
      </c>
      <c r="B10" s="48">
        <v>16</v>
      </c>
      <c r="C10" s="49">
        <v>3000</v>
      </c>
      <c r="D10" s="50" t="s">
        <v>11</v>
      </c>
      <c r="E10" s="51">
        <v>-419718000</v>
      </c>
      <c r="F10" s="51">
        <v>-314788000</v>
      </c>
      <c r="G10" s="40">
        <f t="shared" si="0"/>
        <v>-104930000</v>
      </c>
      <c r="H10" s="41">
        <f>I10-E10</f>
        <v>0</v>
      </c>
      <c r="I10" s="51">
        <v>-419718000</v>
      </c>
      <c r="J10" s="51">
        <v>-463587000</v>
      </c>
      <c r="K10" s="51">
        <v>-495550000</v>
      </c>
    </row>
    <row r="11" spans="1:11" x14ac:dyDescent="0.25">
      <c r="A11" s="53">
        <v>20</v>
      </c>
      <c r="B11" s="53">
        <v>16</v>
      </c>
      <c r="C11" s="54">
        <v>3151</v>
      </c>
      <c r="D11" s="55" t="s">
        <v>156</v>
      </c>
      <c r="E11" s="51">
        <v>-278000000</v>
      </c>
      <c r="F11" s="51"/>
      <c r="G11" s="40">
        <f t="shared" si="0"/>
        <v>-278000000</v>
      </c>
      <c r="H11" s="41">
        <f t="shared" ref="H11:H23" si="2">I11-E11</f>
        <v>278000000</v>
      </c>
      <c r="I11" s="51">
        <v>0</v>
      </c>
      <c r="J11" s="51">
        <v>0</v>
      </c>
      <c r="K11" s="51">
        <v>0</v>
      </c>
    </row>
    <row r="12" spans="1:11" x14ac:dyDescent="0.25">
      <c r="A12" s="53">
        <v>20</v>
      </c>
      <c r="B12" s="53">
        <v>16</v>
      </c>
      <c r="C12" s="54">
        <v>3153</v>
      </c>
      <c r="D12" s="55" t="s">
        <v>155</v>
      </c>
      <c r="E12" s="51">
        <v>-48000000</v>
      </c>
      <c r="F12" s="51">
        <v>0</v>
      </c>
      <c r="G12" s="40">
        <f t="shared" si="0"/>
        <v>-48000000</v>
      </c>
      <c r="H12" s="41">
        <f t="shared" si="2"/>
        <v>48000000</v>
      </c>
      <c r="I12" s="51">
        <v>0</v>
      </c>
      <c r="J12" s="51"/>
      <c r="K12" s="51"/>
    </row>
    <row r="13" spans="1:11" x14ac:dyDescent="0.25">
      <c r="A13" s="48">
        <v>20</v>
      </c>
      <c r="B13" s="48">
        <v>16</v>
      </c>
      <c r="C13" s="49">
        <v>3152</v>
      </c>
      <c r="D13" s="50" t="s">
        <v>77</v>
      </c>
      <c r="E13" s="51">
        <v>-11620000</v>
      </c>
      <c r="F13" s="51">
        <v>-2713000</v>
      </c>
      <c r="G13" s="40">
        <f t="shared" si="0"/>
        <v>-8907000</v>
      </c>
      <c r="H13" s="41">
        <f t="shared" si="2"/>
        <v>0</v>
      </c>
      <c r="I13" s="51">
        <v>-11620000</v>
      </c>
      <c r="J13" s="51">
        <v>0</v>
      </c>
      <c r="K13" s="51">
        <v>0</v>
      </c>
    </row>
    <row r="14" spans="1:11" x14ac:dyDescent="0.25">
      <c r="A14" s="48">
        <v>20</v>
      </c>
      <c r="B14" s="48">
        <v>16</v>
      </c>
      <c r="C14" s="49">
        <v>3201</v>
      </c>
      <c r="D14" s="50" t="s">
        <v>157</v>
      </c>
      <c r="E14" s="51">
        <v>-1250000</v>
      </c>
      <c r="F14" s="51">
        <v>-1250000</v>
      </c>
      <c r="G14" s="40">
        <f t="shared" si="0"/>
        <v>0</v>
      </c>
      <c r="H14" s="41">
        <f t="shared" si="2"/>
        <v>0</v>
      </c>
      <c r="I14" s="51">
        <v>-1250000</v>
      </c>
      <c r="J14" s="51">
        <v>-1250000</v>
      </c>
      <c r="K14" s="51">
        <v>-15000000</v>
      </c>
    </row>
    <row r="15" spans="1:11" x14ac:dyDescent="0.25">
      <c r="A15" s="56">
        <v>20</v>
      </c>
      <c r="B15" s="56">
        <v>16</v>
      </c>
      <c r="C15" s="57">
        <v>3373</v>
      </c>
      <c r="D15" s="58" t="s">
        <v>138</v>
      </c>
      <c r="E15" s="59">
        <v>-35545000</v>
      </c>
      <c r="F15" s="59">
        <v>-33696000</v>
      </c>
      <c r="G15" s="59">
        <f t="shared" si="0"/>
        <v>-1849000</v>
      </c>
      <c r="H15" s="59">
        <f t="shared" si="2"/>
        <v>-818000</v>
      </c>
      <c r="I15" s="59">
        <v>-36363000</v>
      </c>
      <c r="J15" s="59">
        <v>0</v>
      </c>
      <c r="K15" s="59">
        <v>0</v>
      </c>
    </row>
    <row r="16" spans="1:11" x14ac:dyDescent="0.25">
      <c r="A16" s="48">
        <v>20</v>
      </c>
      <c r="B16" s="48">
        <v>16</v>
      </c>
      <c r="C16" s="49">
        <v>3374</v>
      </c>
      <c r="D16" s="50" t="s">
        <v>131</v>
      </c>
      <c r="E16" s="51">
        <v>-10000000</v>
      </c>
      <c r="F16" s="51">
        <v>0</v>
      </c>
      <c r="G16" s="40">
        <f t="shared" si="0"/>
        <v>-10000000</v>
      </c>
      <c r="H16" s="41">
        <f t="shared" si="2"/>
        <v>0</v>
      </c>
      <c r="I16" s="51">
        <v>-10000000</v>
      </c>
      <c r="J16" s="51">
        <v>0</v>
      </c>
      <c r="K16" s="51">
        <v>0</v>
      </c>
    </row>
    <row r="17" spans="1:11" x14ac:dyDescent="0.25">
      <c r="A17" s="48">
        <v>20</v>
      </c>
      <c r="B17" s="48">
        <v>16</v>
      </c>
      <c r="C17" s="49">
        <v>3375</v>
      </c>
      <c r="D17" s="50" t="s">
        <v>137</v>
      </c>
      <c r="E17" s="51">
        <v>-24133000</v>
      </c>
      <c r="F17" s="51">
        <v>-16088000</v>
      </c>
      <c r="G17" s="40">
        <f t="shared" si="0"/>
        <v>-8045000</v>
      </c>
      <c r="H17" s="41">
        <f t="shared" si="2"/>
        <v>0</v>
      </c>
      <c r="I17" s="51">
        <v>-24133000</v>
      </c>
      <c r="J17" s="51">
        <v>-60609000</v>
      </c>
      <c r="K17" s="51">
        <v>-55000000</v>
      </c>
    </row>
    <row r="18" spans="1:11" x14ac:dyDescent="0.25">
      <c r="A18" s="48">
        <v>20</v>
      </c>
      <c r="B18" s="48">
        <v>16</v>
      </c>
      <c r="C18" s="49">
        <v>3445</v>
      </c>
      <c r="D18" s="50" t="s">
        <v>158</v>
      </c>
      <c r="E18" s="51">
        <v>-790000</v>
      </c>
      <c r="F18" s="51">
        <v>-790000</v>
      </c>
      <c r="G18" s="40">
        <f t="shared" si="0"/>
        <v>0</v>
      </c>
      <c r="H18" s="41">
        <f t="shared" si="2"/>
        <v>0</v>
      </c>
      <c r="I18" s="51">
        <v>-790000</v>
      </c>
      <c r="J18" s="51">
        <v>-1000000</v>
      </c>
      <c r="K18" s="51">
        <v>-1000000</v>
      </c>
    </row>
    <row r="19" spans="1:11" x14ac:dyDescent="0.25">
      <c r="A19" s="48">
        <v>20</v>
      </c>
      <c r="B19" s="48">
        <v>16</v>
      </c>
      <c r="C19" s="49">
        <v>3475</v>
      </c>
      <c r="D19" s="50" t="s">
        <v>159</v>
      </c>
      <c r="E19" s="51">
        <v>-263229000</v>
      </c>
      <c r="F19" s="51">
        <v>-164512000</v>
      </c>
      <c r="G19" s="40">
        <f t="shared" si="0"/>
        <v>-98717000</v>
      </c>
      <c r="H19" s="41">
        <f t="shared" si="2"/>
        <v>0</v>
      </c>
      <c r="I19" s="51">
        <v>-263229000</v>
      </c>
      <c r="J19" s="51">
        <v>-320050000</v>
      </c>
      <c r="K19" s="51">
        <v>-337652000</v>
      </c>
    </row>
    <row r="20" spans="1:11" x14ac:dyDescent="0.25">
      <c r="A20" s="53">
        <v>20</v>
      </c>
      <c r="B20" s="53">
        <v>16</v>
      </c>
      <c r="C20" s="54">
        <v>3505</v>
      </c>
      <c r="D20" s="55" t="s">
        <v>12</v>
      </c>
      <c r="E20" s="51">
        <v>-750000</v>
      </c>
      <c r="F20" s="51">
        <v>-197591.35</v>
      </c>
      <c r="G20" s="40">
        <f t="shared" si="0"/>
        <v>-552408.65</v>
      </c>
      <c r="H20" s="41">
        <f t="shared" si="2"/>
        <v>150000</v>
      </c>
      <c r="I20" s="51">
        <v>-600000</v>
      </c>
      <c r="J20" s="51">
        <v>0</v>
      </c>
      <c r="K20" s="51">
        <v>0</v>
      </c>
    </row>
    <row r="21" spans="1:11" x14ac:dyDescent="0.25">
      <c r="A21" s="53">
        <v>20</v>
      </c>
      <c r="B21" s="53">
        <v>16</v>
      </c>
      <c r="C21" s="54">
        <v>3480</v>
      </c>
      <c r="D21" s="55" t="s">
        <v>123</v>
      </c>
      <c r="E21" s="51">
        <v>-131000000</v>
      </c>
      <c r="F21" s="51">
        <v>0</v>
      </c>
      <c r="G21" s="40">
        <f t="shared" si="0"/>
        <v>-131000000</v>
      </c>
      <c r="H21" s="41">
        <f t="shared" si="2"/>
        <v>131000000</v>
      </c>
      <c r="I21" s="51">
        <v>0</v>
      </c>
      <c r="J21" s="51">
        <v>0</v>
      </c>
      <c r="K21" s="51">
        <v>0</v>
      </c>
    </row>
    <row r="22" spans="1:11" x14ac:dyDescent="0.25">
      <c r="A22" s="67">
        <v>20</v>
      </c>
      <c r="B22" s="67">
        <v>16</v>
      </c>
      <c r="C22" s="68">
        <v>3154</v>
      </c>
      <c r="D22" s="69" t="s">
        <v>135</v>
      </c>
      <c r="E22" s="59">
        <v>-54000000</v>
      </c>
      <c r="F22" s="59">
        <v>0</v>
      </c>
      <c r="G22" s="59">
        <f t="shared" si="0"/>
        <v>-54000000</v>
      </c>
      <c r="H22" s="59">
        <f t="shared" si="2"/>
        <v>20431159.439999998</v>
      </c>
      <c r="I22" s="59">
        <v>-33568840.560000002</v>
      </c>
      <c r="J22" s="59">
        <v>0</v>
      </c>
      <c r="K22" s="59">
        <v>0</v>
      </c>
    </row>
    <row r="23" spans="1:11" x14ac:dyDescent="0.25">
      <c r="A23" s="67">
        <v>20</v>
      </c>
      <c r="B23" s="67">
        <v>16</v>
      </c>
      <c r="C23" s="68">
        <v>3506</v>
      </c>
      <c r="D23" s="69" t="s">
        <v>166</v>
      </c>
      <c r="E23" s="59">
        <v>0</v>
      </c>
      <c r="F23" s="59">
        <v>-1688090</v>
      </c>
      <c r="G23" s="59">
        <f t="shared" si="0"/>
        <v>1688090</v>
      </c>
      <c r="H23" s="41">
        <f t="shared" si="2"/>
        <v>-1688090</v>
      </c>
      <c r="I23" s="59">
        <v>-1688090</v>
      </c>
      <c r="J23" s="59"/>
      <c r="K23" s="59"/>
    </row>
    <row r="24" spans="1:11" x14ac:dyDescent="0.25">
      <c r="A24" s="67"/>
      <c r="B24" s="67"/>
      <c r="C24" s="68"/>
      <c r="D24" s="69"/>
      <c r="E24" s="59"/>
      <c r="F24" s="59"/>
      <c r="G24" s="59"/>
      <c r="H24" s="41"/>
      <c r="I24" s="59"/>
      <c r="J24" s="59"/>
      <c r="K24" s="59"/>
    </row>
    <row r="25" spans="1:11" x14ac:dyDescent="0.25">
      <c r="A25" s="60" t="s">
        <v>67</v>
      </c>
      <c r="B25" s="60"/>
      <c r="C25" s="60"/>
      <c r="D25" s="60"/>
      <c r="E25" s="44">
        <f>SUM(E10:E23)</f>
        <v>-1278035000</v>
      </c>
      <c r="F25" s="44">
        <f>SUM(F10:F23)</f>
        <v>-535722681.35000002</v>
      </c>
      <c r="G25" s="44">
        <f>SUM(G10:G22)</f>
        <v>-744000408.64999998</v>
      </c>
      <c r="H25" s="44">
        <f>SUM(H10:H22)</f>
        <v>476763159.44</v>
      </c>
      <c r="I25" s="44">
        <f>SUM(I10:I23)</f>
        <v>-802959930.55999994</v>
      </c>
      <c r="J25" s="44">
        <f>SUM(J10:J22)</f>
        <v>-846496000</v>
      </c>
      <c r="K25" s="44">
        <f>SUM(K10:K22)</f>
        <v>-904202000</v>
      </c>
    </row>
    <row r="26" spans="1:11" x14ac:dyDescent="0.25">
      <c r="A26" s="60"/>
      <c r="B26" s="60"/>
      <c r="C26" s="60"/>
      <c r="D26" s="60"/>
      <c r="E26" s="44"/>
      <c r="F26" s="44"/>
      <c r="G26" s="44"/>
      <c r="H26" s="44"/>
      <c r="I26" s="44"/>
      <c r="J26" s="44"/>
      <c r="K26" s="44"/>
    </row>
    <row r="27" spans="1:11" x14ac:dyDescent="0.25">
      <c r="A27" s="53">
        <v>20</v>
      </c>
      <c r="B27" s="48">
        <v>17</v>
      </c>
      <c r="C27" s="50">
        <v>3155</v>
      </c>
      <c r="D27" s="50" t="s">
        <v>154</v>
      </c>
      <c r="E27" s="51">
        <v>-17500000</v>
      </c>
      <c r="F27" s="51">
        <v>-3000000</v>
      </c>
      <c r="G27" s="40">
        <f>E27-F27</f>
        <v>-14500000</v>
      </c>
      <c r="H27" s="41">
        <f t="shared" ref="H27:H40" si="3">I27-E27</f>
        <v>17500000</v>
      </c>
      <c r="I27" s="51">
        <v>0</v>
      </c>
      <c r="J27" s="51">
        <f>E27+E27*6%</f>
        <v>-18550000</v>
      </c>
      <c r="K27" s="51">
        <f>J27+J27*6%</f>
        <v>-19663000</v>
      </c>
    </row>
    <row r="28" spans="1:11" x14ac:dyDescent="0.25">
      <c r="A28" s="53"/>
      <c r="B28" s="48"/>
      <c r="C28" s="50"/>
      <c r="D28" s="50" t="s">
        <v>237</v>
      </c>
      <c r="E28" s="51"/>
      <c r="F28" s="51">
        <v>-3000000</v>
      </c>
      <c r="G28" s="40">
        <f t="shared" si="0"/>
        <v>3000000</v>
      </c>
      <c r="H28" s="41">
        <f t="shared" si="3"/>
        <v>-150397238.98699999</v>
      </c>
      <c r="I28" s="51">
        <f>'BA PHALABORWA WATER'!B7+'BA PHALABORWA SEWER'!B7</f>
        <v>-150397238.98699999</v>
      </c>
      <c r="J28" s="51">
        <f>'BA PHALABORWA SEWER'!C7+'BA PHALABORWA WATER'!C7</f>
        <v>-159797066.42368752</v>
      </c>
      <c r="K28" s="51">
        <f>'BA PHALABORWA SEWER'!H7+'BA PHALABORWA WATER'!H7</f>
        <v>-169784383.07516795</v>
      </c>
    </row>
    <row r="29" spans="1:11" x14ac:dyDescent="0.25">
      <c r="A29" s="53"/>
      <c r="B29" s="48"/>
      <c r="C29" s="50"/>
      <c r="D29" s="50" t="s">
        <v>146</v>
      </c>
      <c r="E29" s="51"/>
      <c r="F29" s="51"/>
      <c r="G29" s="40"/>
      <c r="H29" s="41">
        <f t="shared" si="3"/>
        <v>-19692448</v>
      </c>
      <c r="I29" s="51">
        <f>'GREATER GIYANI WATER'!B9+'GREATER GIYANI SEWER'!B8</f>
        <v>-19692448</v>
      </c>
      <c r="J29" s="51">
        <f>'GREATER GIYANI SEWER'!C8+'GREATER GIYANI WATER'!C9</f>
        <v>-20711816.125</v>
      </c>
      <c r="K29" s="51">
        <f>'GREATER GIYANI SEWER'!H8+'GREATER GIYANI WATER'!H9</f>
        <v>-22006304.6328125</v>
      </c>
    </row>
    <row r="30" spans="1:11" x14ac:dyDescent="0.25">
      <c r="A30" s="53"/>
      <c r="B30" s="48"/>
      <c r="C30" s="50"/>
      <c r="D30" s="50" t="s">
        <v>147</v>
      </c>
      <c r="E30" s="51"/>
      <c r="F30" s="51"/>
      <c r="G30" s="40"/>
      <c r="H30" s="41">
        <f t="shared" si="3"/>
        <v>-14310302</v>
      </c>
      <c r="I30" s="51">
        <f>'GREATER LETABA WATER'!B7+'GREATER LETABA SEWERAGE'!B8</f>
        <v>-14310302</v>
      </c>
      <c r="J30" s="51">
        <f>'GREATER LETABA SEWERAGE'!H8+'GREATER LETABA WATER'!H7</f>
        <v>-15521672.9609375</v>
      </c>
      <c r="K30" s="51">
        <f>'GREATER LETABA WATER'!H7+'GREATER GIYANI SEWER'!H8</f>
        <v>-14583429.9453125</v>
      </c>
    </row>
    <row r="31" spans="1:11" x14ac:dyDescent="0.25">
      <c r="A31" s="53"/>
      <c r="B31" s="48"/>
      <c r="C31" s="50"/>
      <c r="D31" s="50" t="s">
        <v>148</v>
      </c>
      <c r="E31" s="51"/>
      <c r="F31" s="51"/>
      <c r="G31" s="40"/>
      <c r="H31" s="41">
        <f t="shared" si="3"/>
        <v>-36944777</v>
      </c>
      <c r="I31" s="51">
        <f>'GREATER TZN WATER PURIFICATION'!B9+'GREATER TZANEEN SEWERAGE'!B8</f>
        <v>-36944777</v>
      </c>
      <c r="J31" s="51">
        <f>'GREATER TZANEEN SEWERAGE'!C8+'GREATER TZN WATER PURIFICATION'!C9</f>
        <v>-39253825.5625</v>
      </c>
      <c r="K31" s="51">
        <f>'GREATER TZANEEN SEWERAGE'!H8+'GREATER TZN WATER PURIFICATION'!H9</f>
        <v>-41707189.66015625</v>
      </c>
    </row>
    <row r="32" spans="1:11" x14ac:dyDescent="0.25">
      <c r="A32" s="53"/>
      <c r="B32" s="48"/>
      <c r="C32" s="50"/>
      <c r="D32" s="50" t="s">
        <v>150</v>
      </c>
      <c r="E32" s="51"/>
      <c r="F32" s="51"/>
      <c r="G32" s="40"/>
      <c r="H32" s="41">
        <f t="shared" si="3"/>
        <v>-5085110</v>
      </c>
      <c r="I32" s="51">
        <f>'MARULENG WATER &amp; SEWERAGE'!B10</f>
        <v>-5085110</v>
      </c>
      <c r="J32" s="51">
        <f>'MARULENG WATER &amp; SEWERAGE'!C10</f>
        <v>-5402929.375</v>
      </c>
      <c r="K32" s="51">
        <f>'MARULENG WATER &amp; SEWERAGE'!H10</f>
        <v>-5740612.4609375</v>
      </c>
    </row>
    <row r="33" spans="1:11" x14ac:dyDescent="0.25">
      <c r="A33" s="48">
        <v>20</v>
      </c>
      <c r="B33" s="48">
        <v>17</v>
      </c>
      <c r="C33" s="49">
        <v>3150</v>
      </c>
      <c r="D33" s="50" t="s">
        <v>139</v>
      </c>
      <c r="E33" s="51">
        <v>-62000</v>
      </c>
      <c r="F33" s="51">
        <v>0</v>
      </c>
      <c r="G33" s="40">
        <f t="shared" si="0"/>
        <v>-62000</v>
      </c>
      <c r="H33" s="41">
        <f t="shared" si="3"/>
        <v>0</v>
      </c>
      <c r="I33" s="51">
        <v>-62000</v>
      </c>
      <c r="J33" s="51">
        <f t="shared" ref="J33:J41" si="4">E33+E33*6%</f>
        <v>-65720</v>
      </c>
      <c r="K33" s="51">
        <f t="shared" ref="K33:K41" si="5">J33+J33*6%</f>
        <v>-69663.199999999997</v>
      </c>
    </row>
    <row r="34" spans="1:11" x14ac:dyDescent="0.25">
      <c r="A34" s="48">
        <v>20</v>
      </c>
      <c r="B34" s="48">
        <v>17</v>
      </c>
      <c r="C34" s="49">
        <v>3355</v>
      </c>
      <c r="D34" s="50" t="s">
        <v>13</v>
      </c>
      <c r="E34" s="51">
        <v>-631000</v>
      </c>
      <c r="F34" s="51">
        <v>-570000</v>
      </c>
      <c r="G34" s="40">
        <f t="shared" si="0"/>
        <v>-61000</v>
      </c>
      <c r="H34" s="41">
        <f t="shared" si="3"/>
        <v>-169000</v>
      </c>
      <c r="I34" s="51">
        <v>-800000</v>
      </c>
      <c r="J34" s="51">
        <f t="shared" si="4"/>
        <v>-668860</v>
      </c>
      <c r="K34" s="51">
        <f t="shared" si="5"/>
        <v>-708991.6</v>
      </c>
    </row>
    <row r="35" spans="1:11" x14ac:dyDescent="0.25">
      <c r="A35" s="48">
        <v>20</v>
      </c>
      <c r="B35" s="48">
        <v>17</v>
      </c>
      <c r="C35" s="49">
        <v>3510</v>
      </c>
      <c r="D35" s="50" t="s">
        <v>14</v>
      </c>
      <c r="E35" s="51">
        <v>-500000</v>
      </c>
      <c r="F35" s="51">
        <v>0</v>
      </c>
      <c r="G35" s="40">
        <f t="shared" si="0"/>
        <v>-500000</v>
      </c>
      <c r="H35" s="41">
        <f t="shared" si="3"/>
        <v>500000</v>
      </c>
      <c r="I35" s="51">
        <v>0</v>
      </c>
      <c r="J35" s="51">
        <f t="shared" si="4"/>
        <v>-530000</v>
      </c>
      <c r="K35" s="51">
        <f t="shared" si="5"/>
        <v>-561800</v>
      </c>
    </row>
    <row r="36" spans="1:11" x14ac:dyDescent="0.25">
      <c r="A36" s="48">
        <v>20</v>
      </c>
      <c r="B36" s="48">
        <v>17</v>
      </c>
      <c r="C36" s="49">
        <v>3512</v>
      </c>
      <c r="D36" s="50" t="s">
        <v>15</v>
      </c>
      <c r="E36" s="51">
        <v>-100000</v>
      </c>
      <c r="F36" s="51">
        <v>0</v>
      </c>
      <c r="G36" s="40">
        <f t="shared" si="0"/>
        <v>-100000</v>
      </c>
      <c r="H36" s="41">
        <f t="shared" si="3"/>
        <v>0</v>
      </c>
      <c r="I36" s="51">
        <v>-100000</v>
      </c>
      <c r="J36" s="51">
        <f t="shared" si="4"/>
        <v>-106000</v>
      </c>
      <c r="K36" s="51">
        <f t="shared" si="5"/>
        <v>-112360</v>
      </c>
    </row>
    <row r="37" spans="1:11" x14ac:dyDescent="0.25">
      <c r="A37" s="48">
        <v>20</v>
      </c>
      <c r="B37" s="48">
        <v>17</v>
      </c>
      <c r="C37" s="49">
        <v>3542</v>
      </c>
      <c r="D37" s="50" t="s">
        <v>65</v>
      </c>
      <c r="E37" s="51">
        <v>-150000</v>
      </c>
      <c r="F37" s="51">
        <v>-6772</v>
      </c>
      <c r="G37" s="40">
        <f t="shared" si="0"/>
        <v>-143228</v>
      </c>
      <c r="H37" s="41">
        <f t="shared" si="3"/>
        <v>0</v>
      </c>
      <c r="I37" s="51">
        <v>-150000</v>
      </c>
      <c r="J37" s="51">
        <f t="shared" si="4"/>
        <v>-159000</v>
      </c>
      <c r="K37" s="51">
        <f t="shared" si="5"/>
        <v>-168540</v>
      </c>
    </row>
    <row r="38" spans="1:11" x14ac:dyDescent="0.25">
      <c r="A38" s="48">
        <v>20</v>
      </c>
      <c r="B38" s="48">
        <v>17</v>
      </c>
      <c r="C38" s="49">
        <v>3554</v>
      </c>
      <c r="D38" s="50" t="s">
        <v>122</v>
      </c>
      <c r="E38" s="51">
        <v>-500000</v>
      </c>
      <c r="F38" s="51">
        <v>0</v>
      </c>
      <c r="G38" s="40">
        <f t="shared" si="0"/>
        <v>-500000</v>
      </c>
      <c r="H38" s="41">
        <f t="shared" si="3"/>
        <v>500000</v>
      </c>
      <c r="I38" s="51">
        <v>0</v>
      </c>
      <c r="J38" s="51">
        <f t="shared" si="4"/>
        <v>-530000</v>
      </c>
      <c r="K38" s="51">
        <f t="shared" si="5"/>
        <v>-561800</v>
      </c>
    </row>
    <row r="39" spans="1:11" x14ac:dyDescent="0.25">
      <c r="A39" s="48">
        <v>20</v>
      </c>
      <c r="B39" s="48">
        <v>17</v>
      </c>
      <c r="C39" s="49">
        <v>3556</v>
      </c>
      <c r="D39" s="50" t="s">
        <v>16</v>
      </c>
      <c r="E39" s="51">
        <v>-1500000</v>
      </c>
      <c r="F39" s="51">
        <v>-2399554.58</v>
      </c>
      <c r="G39" s="40">
        <f t="shared" si="0"/>
        <v>899554.58000000007</v>
      </c>
      <c r="H39" s="41">
        <f t="shared" si="3"/>
        <v>-899555</v>
      </c>
      <c r="I39" s="51">
        <v>-2399555</v>
      </c>
      <c r="J39" s="51">
        <f t="shared" si="4"/>
        <v>-1590000</v>
      </c>
      <c r="K39" s="51">
        <f t="shared" si="5"/>
        <v>-1685400</v>
      </c>
    </row>
    <row r="40" spans="1:11" x14ac:dyDescent="0.25">
      <c r="A40" s="48">
        <v>20</v>
      </c>
      <c r="B40" s="48">
        <v>17</v>
      </c>
      <c r="C40" s="49">
        <v>3558</v>
      </c>
      <c r="D40" s="50" t="s">
        <v>78</v>
      </c>
      <c r="E40" s="51">
        <v>-500000</v>
      </c>
      <c r="F40" s="51">
        <v>0</v>
      </c>
      <c r="G40" s="40">
        <f t="shared" si="0"/>
        <v>-500000</v>
      </c>
      <c r="H40" s="41">
        <f t="shared" si="3"/>
        <v>500000</v>
      </c>
      <c r="I40" s="51">
        <v>0</v>
      </c>
      <c r="J40" s="51">
        <f t="shared" si="4"/>
        <v>-530000</v>
      </c>
      <c r="K40" s="51">
        <f t="shared" si="5"/>
        <v>-561800</v>
      </c>
    </row>
    <row r="41" spans="1:11" x14ac:dyDescent="0.25">
      <c r="A41" s="53"/>
      <c r="B41" s="53"/>
      <c r="C41" s="54"/>
      <c r="D41" s="55"/>
      <c r="E41" s="51">
        <v>0</v>
      </c>
      <c r="F41" s="51"/>
      <c r="G41" s="40">
        <f t="shared" si="0"/>
        <v>0</v>
      </c>
      <c r="H41" s="51"/>
      <c r="I41" s="51"/>
      <c r="J41" s="51">
        <f t="shared" si="4"/>
        <v>0</v>
      </c>
      <c r="K41" s="51">
        <f t="shared" si="5"/>
        <v>0</v>
      </c>
    </row>
    <row r="42" spans="1:11" x14ac:dyDescent="0.25">
      <c r="A42" s="60" t="s">
        <v>68</v>
      </c>
      <c r="B42" s="60"/>
      <c r="C42" s="60"/>
      <c r="D42" s="60"/>
      <c r="E42" s="44">
        <f>SUM(E27:E41)</f>
        <v>-21443000</v>
      </c>
      <c r="F42" s="44">
        <f t="shared" ref="F42:K42" si="6">SUM(F27:F41)</f>
        <v>-8976326.5800000001</v>
      </c>
      <c r="G42" s="44">
        <f t="shared" si="6"/>
        <v>-12466673.42</v>
      </c>
      <c r="H42" s="44">
        <f t="shared" si="6"/>
        <v>-208498430.98699999</v>
      </c>
      <c r="I42" s="44">
        <f t="shared" si="6"/>
        <v>-229941430.98699999</v>
      </c>
      <c r="J42" s="44">
        <f t="shared" si="6"/>
        <v>-263416890.44712502</v>
      </c>
      <c r="K42" s="44">
        <f t="shared" si="6"/>
        <v>-277915274.57438672</v>
      </c>
    </row>
    <row r="43" spans="1:11" x14ac:dyDescent="0.25">
      <c r="A43" s="50"/>
      <c r="B43" s="50"/>
      <c r="C43" s="50"/>
      <c r="D43" s="50"/>
      <c r="E43" s="44">
        <f>SUM(E28:E42)</f>
        <v>-25386000</v>
      </c>
      <c r="F43" s="51"/>
      <c r="G43" s="40">
        <f t="shared" si="0"/>
        <v>-25386000</v>
      </c>
      <c r="H43" s="51"/>
      <c r="I43" s="51"/>
      <c r="J43" s="51"/>
      <c r="K43" s="51"/>
    </row>
    <row r="44" spans="1:11" x14ac:dyDescent="0.25">
      <c r="A44" s="909" t="s">
        <v>115</v>
      </c>
      <c r="B44" s="909"/>
      <c r="C44" s="909"/>
      <c r="D44" s="909"/>
      <c r="E44" s="44">
        <f t="shared" ref="E44:K44" si="7">E42+E25+E8</f>
        <v>-1308078000</v>
      </c>
      <c r="F44" s="44">
        <f t="shared" si="7"/>
        <v>-545038655.7700001</v>
      </c>
      <c r="G44" s="44">
        <f t="shared" si="7"/>
        <v>-764727434.2299999</v>
      </c>
      <c r="H44" s="44">
        <f t="shared" si="7"/>
        <v>276262728.45300001</v>
      </c>
      <c r="I44" s="44">
        <f t="shared" si="7"/>
        <v>-1033503361.5469999</v>
      </c>
      <c r="J44" s="44">
        <f t="shared" si="7"/>
        <v>-1109912890.447125</v>
      </c>
      <c r="K44" s="44">
        <f t="shared" si="7"/>
        <v>-1182117274.5743866</v>
      </c>
    </row>
    <row r="45" spans="1:11" x14ac:dyDescent="0.25">
      <c r="A45" s="909" t="s">
        <v>116</v>
      </c>
      <c r="B45" s="909"/>
      <c r="C45" s="909"/>
      <c r="D45" s="909"/>
      <c r="E45" s="44">
        <v>1308077833</v>
      </c>
      <c r="F45" s="44" t="e">
        <f>SUMMARY!M84+SUMMARY!#REF!</f>
        <v>#REF!</v>
      </c>
      <c r="G45" s="44" t="e">
        <f>SUMMARY!N84+SUMMARY!#REF!</f>
        <v>#REF!</v>
      </c>
      <c r="H45" s="44" t="e">
        <f>SUMMARY!#REF!+SUMMARY!#REF!</f>
        <v>#REF!</v>
      </c>
      <c r="I45" s="44">
        <f>SUMMARY!L84</f>
        <v>2292444889.9873133</v>
      </c>
      <c r="J45" s="44">
        <f>SUMMARY!M84</f>
        <v>1412671426.2189176</v>
      </c>
      <c r="K45" s="44">
        <f>SUMMARY!N84</f>
        <v>1504911798.5068946</v>
      </c>
    </row>
    <row r="46" spans="1:11" x14ac:dyDescent="0.25">
      <c r="A46" s="909" t="s">
        <v>160</v>
      </c>
      <c r="B46" s="909"/>
      <c r="C46" s="909"/>
      <c r="D46" s="909"/>
      <c r="E46" s="44">
        <f t="shared" ref="E46:K46" si="8">E44+E45</f>
        <v>-167</v>
      </c>
      <c r="F46" s="44" t="e">
        <f t="shared" si="8"/>
        <v>#REF!</v>
      </c>
      <c r="G46" s="44" t="e">
        <f t="shared" si="8"/>
        <v>#REF!</v>
      </c>
      <c r="H46" s="44" t="e">
        <f t="shared" si="8"/>
        <v>#REF!</v>
      </c>
      <c r="I46" s="44">
        <f t="shared" si="8"/>
        <v>1258941528.4403133</v>
      </c>
      <c r="J46" s="44">
        <f t="shared" si="8"/>
        <v>302758535.77179265</v>
      </c>
      <c r="K46" s="44">
        <f t="shared" si="8"/>
        <v>322794523.93250799</v>
      </c>
    </row>
    <row r="47" spans="1:11" x14ac:dyDescent="0.25">
      <c r="A47" s="19"/>
      <c r="B47" s="19"/>
      <c r="C47" s="19"/>
      <c r="D47" s="19"/>
      <c r="E47" s="63"/>
      <c r="F47" s="63"/>
      <c r="G47" s="63"/>
      <c r="H47" s="63"/>
      <c r="I47" s="63"/>
      <c r="J47" s="63"/>
      <c r="K47" s="63"/>
    </row>
  </sheetData>
  <mergeCells count="4">
    <mergeCell ref="A4:C4"/>
    <mergeCell ref="A44:D44"/>
    <mergeCell ref="A45:D45"/>
    <mergeCell ref="A46:D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view="pageBreakPreview" topLeftCell="A14" zoomScaleNormal="75" zoomScaleSheetLayoutView="100" workbookViewId="0">
      <selection activeCell="I25" sqref="I25"/>
    </sheetView>
  </sheetViews>
  <sheetFormatPr defaultColWidth="9.28515625" defaultRowHeight="15" x14ac:dyDescent="0.25"/>
  <cols>
    <col min="1" max="1" width="29.42578125" style="352" customWidth="1"/>
    <col min="2" max="2" width="16.7109375" style="247" hidden="1" customWidth="1"/>
    <col min="3" max="8" width="16.7109375" style="247" customWidth="1"/>
    <col min="9" max="9" width="16.42578125" style="352" customWidth="1"/>
    <col min="10" max="16384" width="9.28515625" style="19"/>
  </cols>
  <sheetData>
    <row r="1" spans="1:9" hidden="1" x14ac:dyDescent="0.25"/>
    <row r="2" spans="1:9" ht="18.75" x14ac:dyDescent="0.3">
      <c r="A2" s="519" t="s">
        <v>792</v>
      </c>
      <c r="B2" s="361"/>
      <c r="C2" s="361"/>
      <c r="D2" s="361"/>
      <c r="E2" s="361"/>
      <c r="F2" s="361"/>
      <c r="G2" s="361"/>
      <c r="H2" s="361"/>
    </row>
    <row r="3" spans="1:9" ht="15.75" thickBot="1" x14ac:dyDescent="0.3"/>
    <row r="4" spans="1:9" s="18" customFormat="1" ht="39.75" customHeight="1" thickBot="1" x14ac:dyDescent="0.3">
      <c r="A4" s="517" t="s">
        <v>39</v>
      </c>
      <c r="B4" s="384" t="s">
        <v>393</v>
      </c>
      <c r="C4" s="605" t="s">
        <v>789</v>
      </c>
      <c r="D4" s="604" t="s">
        <v>800</v>
      </c>
      <c r="E4" s="714" t="s">
        <v>87</v>
      </c>
      <c r="F4" s="384" t="s">
        <v>164</v>
      </c>
      <c r="G4" s="605" t="s">
        <v>799</v>
      </c>
      <c r="H4" s="384" t="s">
        <v>556</v>
      </c>
      <c r="I4" s="408" t="s">
        <v>644</v>
      </c>
    </row>
    <row r="5" spans="1:9" s="469" customFormat="1" x14ac:dyDescent="0.25">
      <c r="A5" s="253" t="s">
        <v>2</v>
      </c>
      <c r="B5" s="158">
        <v>2769796</v>
      </c>
      <c r="C5" s="158">
        <v>2942908.25</v>
      </c>
      <c r="D5" s="158">
        <v>881219</v>
      </c>
      <c r="E5" s="158">
        <f>C5-D5</f>
        <v>2061689.25</v>
      </c>
      <c r="F5" s="158">
        <v>-1500000</v>
      </c>
      <c r="G5" s="158">
        <f>C5+F5</f>
        <v>1442908.25</v>
      </c>
      <c r="H5" s="158">
        <f>C5*6.25%+C5</f>
        <v>3126840.015625</v>
      </c>
      <c r="I5" s="386">
        <f>H5*6.25%+H5</f>
        <v>3322267.5166015625</v>
      </c>
    </row>
    <row r="6" spans="1:9" s="469" customFormat="1" x14ac:dyDescent="0.25">
      <c r="A6" s="253" t="s">
        <v>805</v>
      </c>
      <c r="B6" s="158"/>
      <c r="C6" s="158">
        <v>0</v>
      </c>
      <c r="D6" s="158"/>
      <c r="E6" s="158">
        <f t="shared" ref="E6:E14" si="0">C6-D6</f>
        <v>0</v>
      </c>
      <c r="F6" s="158">
        <v>600000</v>
      </c>
      <c r="G6" s="158">
        <f t="shared" ref="G6:G8" si="1">C6+F6</f>
        <v>600000</v>
      </c>
      <c r="H6" s="158">
        <v>0</v>
      </c>
      <c r="I6" s="386">
        <v>0</v>
      </c>
    </row>
    <row r="7" spans="1:9" s="469" customFormat="1" x14ac:dyDescent="0.25">
      <c r="A7" s="253" t="s">
        <v>806</v>
      </c>
      <c r="B7" s="158"/>
      <c r="C7" s="158">
        <v>0</v>
      </c>
      <c r="D7" s="158">
        <v>701950</v>
      </c>
      <c r="E7" s="158">
        <f t="shared" si="0"/>
        <v>-701950</v>
      </c>
      <c r="F7" s="158">
        <v>900000</v>
      </c>
      <c r="G7" s="158">
        <f t="shared" si="1"/>
        <v>900000</v>
      </c>
      <c r="H7" s="158">
        <v>0</v>
      </c>
      <c r="I7" s="386">
        <v>0</v>
      </c>
    </row>
    <row r="8" spans="1:9" s="469" customFormat="1" x14ac:dyDescent="0.25">
      <c r="A8" s="253" t="s">
        <v>17</v>
      </c>
      <c r="B8" s="158"/>
      <c r="C8" s="158">
        <v>0</v>
      </c>
      <c r="D8" s="158">
        <v>15270</v>
      </c>
      <c r="E8" s="158">
        <f t="shared" si="0"/>
        <v>-15270</v>
      </c>
      <c r="F8" s="158">
        <v>20000</v>
      </c>
      <c r="G8" s="158">
        <f t="shared" si="1"/>
        <v>20000</v>
      </c>
      <c r="H8" s="158">
        <v>0</v>
      </c>
      <c r="I8" s="386">
        <v>0</v>
      </c>
    </row>
    <row r="9" spans="1:9" s="469" customFormat="1" x14ac:dyDescent="0.25">
      <c r="A9" s="253" t="s">
        <v>3</v>
      </c>
      <c r="B9" s="158">
        <v>88906</v>
      </c>
      <c r="C9" s="158">
        <v>94462.625</v>
      </c>
      <c r="D9" s="158">
        <v>68623</v>
      </c>
      <c r="E9" s="158">
        <f t="shared" si="0"/>
        <v>25839.625</v>
      </c>
      <c r="F9" s="158">
        <v>0</v>
      </c>
      <c r="G9" s="158">
        <f t="shared" ref="G9:G14" si="2">C9+F9</f>
        <v>94462.625</v>
      </c>
      <c r="H9" s="158">
        <f>C9*6.25%+C9</f>
        <v>100366.5390625</v>
      </c>
      <c r="I9" s="386">
        <f t="shared" ref="C9:I13" si="3">H9*6.25%+H9</f>
        <v>106639.44775390625</v>
      </c>
    </row>
    <row r="10" spans="1:9" s="469" customFormat="1" x14ac:dyDescent="0.25">
      <c r="A10" s="253" t="s">
        <v>4</v>
      </c>
      <c r="B10" s="158">
        <v>0</v>
      </c>
      <c r="C10" s="158">
        <f t="shared" si="3"/>
        <v>0</v>
      </c>
      <c r="D10" s="158">
        <v>5787</v>
      </c>
      <c r="E10" s="158">
        <f t="shared" si="0"/>
        <v>-5787</v>
      </c>
      <c r="F10" s="158">
        <v>12000</v>
      </c>
      <c r="G10" s="158">
        <f t="shared" si="2"/>
        <v>12000</v>
      </c>
      <c r="H10" s="158">
        <f>C10*6.25%+C10</f>
        <v>0</v>
      </c>
      <c r="I10" s="386">
        <f t="shared" si="3"/>
        <v>0</v>
      </c>
    </row>
    <row r="11" spans="1:9" s="469" customFormat="1" x14ac:dyDescent="0.25">
      <c r="A11" s="253" t="s">
        <v>173</v>
      </c>
      <c r="B11" s="158"/>
      <c r="C11" s="158">
        <v>144486</v>
      </c>
      <c r="D11" s="158">
        <v>118001</v>
      </c>
      <c r="E11" s="158">
        <f t="shared" si="0"/>
        <v>26485</v>
      </c>
      <c r="F11" s="158"/>
      <c r="G11" s="158">
        <f t="shared" si="2"/>
        <v>144486</v>
      </c>
      <c r="H11" s="158">
        <f>C11*6.25%+C11</f>
        <v>153516.375</v>
      </c>
      <c r="I11" s="386">
        <f>H11*6.25%+H11</f>
        <v>163111.1484375</v>
      </c>
    </row>
    <row r="12" spans="1:9" s="469" customFormat="1" x14ac:dyDescent="0.25">
      <c r="A12" s="253" t="s">
        <v>5</v>
      </c>
      <c r="B12" s="158">
        <v>414000</v>
      </c>
      <c r="C12" s="158">
        <v>439875</v>
      </c>
      <c r="D12" s="158">
        <v>71124</v>
      </c>
      <c r="E12" s="158">
        <f t="shared" si="0"/>
        <v>368751</v>
      </c>
      <c r="F12" s="158">
        <v>-250000</v>
      </c>
      <c r="G12" s="158">
        <f t="shared" si="2"/>
        <v>189875</v>
      </c>
      <c r="H12" s="158">
        <f>C12*6.25%+C12</f>
        <v>467367.1875</v>
      </c>
      <c r="I12" s="386">
        <f t="shared" si="3"/>
        <v>496577.63671875</v>
      </c>
    </row>
    <row r="13" spans="1:9" s="469" customFormat="1" x14ac:dyDescent="0.25">
      <c r="A13" s="253" t="s">
        <v>807</v>
      </c>
      <c r="B13" s="158"/>
      <c r="C13" s="158">
        <v>0</v>
      </c>
      <c r="D13" s="158">
        <v>130042</v>
      </c>
      <c r="E13" s="158">
        <f t="shared" si="0"/>
        <v>-130042</v>
      </c>
      <c r="F13" s="158">
        <v>250000</v>
      </c>
      <c r="G13" s="158">
        <f t="shared" si="2"/>
        <v>250000</v>
      </c>
      <c r="H13" s="158">
        <f>C13*6.25%+C13</f>
        <v>0</v>
      </c>
      <c r="I13" s="386">
        <f t="shared" si="3"/>
        <v>0</v>
      </c>
    </row>
    <row r="14" spans="1:9" s="758" customFormat="1" x14ac:dyDescent="0.25">
      <c r="A14" s="785" t="s">
        <v>872</v>
      </c>
      <c r="B14" s="158"/>
      <c r="C14" s="158">
        <v>0</v>
      </c>
      <c r="D14" s="158">
        <v>0</v>
      </c>
      <c r="E14" s="158">
        <f t="shared" si="0"/>
        <v>0</v>
      </c>
      <c r="F14" s="158">
        <v>432</v>
      </c>
      <c r="G14" s="158">
        <f t="shared" si="2"/>
        <v>432</v>
      </c>
      <c r="H14" s="158">
        <v>0</v>
      </c>
      <c r="I14" s="386">
        <v>0</v>
      </c>
    </row>
    <row r="15" spans="1:9" s="472" customFormat="1" ht="30" x14ac:dyDescent="0.25">
      <c r="A15" s="606" t="s">
        <v>40</v>
      </c>
      <c r="B15" s="246">
        <f>SUM(B5:B12)</f>
        <v>3272702</v>
      </c>
      <c r="C15" s="246">
        <f>SUM(C5:C14)</f>
        <v>3621731.875</v>
      </c>
      <c r="D15" s="246">
        <f t="shared" ref="D15:I15" si="4">SUM(D5:D14)</f>
        <v>1992016</v>
      </c>
      <c r="E15" s="246">
        <f t="shared" si="4"/>
        <v>1629715.875</v>
      </c>
      <c r="F15" s="246">
        <f t="shared" si="4"/>
        <v>32432</v>
      </c>
      <c r="G15" s="246">
        <f t="shared" si="4"/>
        <v>3654163.875</v>
      </c>
      <c r="H15" s="246">
        <f t="shared" si="4"/>
        <v>3848090.1171875</v>
      </c>
      <c r="I15" s="246">
        <f t="shared" si="4"/>
        <v>4088595.7495117188</v>
      </c>
    </row>
    <row r="16" spans="1:9" s="469" customFormat="1" x14ac:dyDescent="0.25">
      <c r="A16" s="253"/>
      <c r="B16" s="158"/>
      <c r="C16" s="158"/>
      <c r="D16" s="158"/>
      <c r="E16" s="158"/>
      <c r="F16" s="158"/>
      <c r="G16" s="158"/>
      <c r="H16" s="158"/>
      <c r="I16" s="386">
        <f>H16*6.9%+H16</f>
        <v>0</v>
      </c>
    </row>
    <row r="17" spans="1:9" s="469" customFormat="1" x14ac:dyDescent="0.25">
      <c r="A17" s="253" t="s">
        <v>6</v>
      </c>
      <c r="B17" s="158">
        <v>46452</v>
      </c>
      <c r="C17" s="158">
        <f>B17*6.25%+B17</f>
        <v>49355.25</v>
      </c>
      <c r="D17" s="158">
        <v>24294</v>
      </c>
      <c r="E17" s="158">
        <f t="shared" ref="E17:E20" si="5">C17-D17</f>
        <v>25061.25</v>
      </c>
      <c r="F17" s="158"/>
      <c r="G17" s="158">
        <f t="shared" ref="G17:G20" si="6">C17+F17</f>
        <v>49355.25</v>
      </c>
      <c r="H17" s="158">
        <f>C17*6.25%+C17</f>
        <v>52439.953125</v>
      </c>
      <c r="I17" s="386">
        <f>H17*6.25%+H17</f>
        <v>55717.4501953125</v>
      </c>
    </row>
    <row r="18" spans="1:9" s="469" customFormat="1" x14ac:dyDescent="0.25">
      <c r="A18" s="253" t="s">
        <v>7</v>
      </c>
      <c r="B18" s="158">
        <v>27698</v>
      </c>
      <c r="C18" s="158">
        <f t="shared" ref="C18:I19" si="7">B18*6.25%+B18</f>
        <v>29429.125</v>
      </c>
      <c r="D18" s="158">
        <v>589</v>
      </c>
      <c r="E18" s="158">
        <f t="shared" si="5"/>
        <v>28840.125</v>
      </c>
      <c r="F18" s="158">
        <v>-15000</v>
      </c>
      <c r="G18" s="158">
        <f t="shared" si="6"/>
        <v>14429.125</v>
      </c>
      <c r="H18" s="158">
        <f>C18*6.25%+C18</f>
        <v>31268.4453125</v>
      </c>
      <c r="I18" s="386">
        <f t="shared" si="7"/>
        <v>33222.72314453125</v>
      </c>
    </row>
    <row r="19" spans="1:9" s="469" customFormat="1" x14ac:dyDescent="0.25">
      <c r="A19" s="253" t="s">
        <v>53</v>
      </c>
      <c r="B19" s="158">
        <v>234713</v>
      </c>
      <c r="C19" s="158">
        <f t="shared" si="7"/>
        <v>249382.5625</v>
      </c>
      <c r="D19" s="158">
        <v>106611</v>
      </c>
      <c r="E19" s="158">
        <f t="shared" si="5"/>
        <v>142771.5625</v>
      </c>
      <c r="F19" s="158">
        <v>-30000</v>
      </c>
      <c r="G19" s="158">
        <f t="shared" si="6"/>
        <v>219382.5625</v>
      </c>
      <c r="H19" s="158">
        <f>C19*6.25%+C19</f>
        <v>264968.97265625</v>
      </c>
      <c r="I19" s="386">
        <f t="shared" si="7"/>
        <v>281529.53344726563</v>
      </c>
    </row>
    <row r="20" spans="1:9" s="474" customFormat="1" x14ac:dyDescent="0.25">
      <c r="A20" s="96" t="s">
        <v>396</v>
      </c>
      <c r="B20" s="91"/>
      <c r="C20" s="91">
        <v>4200</v>
      </c>
      <c r="D20" s="91">
        <v>2000</v>
      </c>
      <c r="E20" s="158">
        <f t="shared" si="5"/>
        <v>2200</v>
      </c>
      <c r="F20" s="91">
        <v>-4200</v>
      </c>
      <c r="G20" s="158">
        <f t="shared" si="6"/>
        <v>0</v>
      </c>
      <c r="H20" s="91">
        <v>4489.8</v>
      </c>
      <c r="I20" s="404">
        <v>4799.5962</v>
      </c>
    </row>
    <row r="21" spans="1:9" s="472" customFormat="1" ht="30" x14ac:dyDescent="0.25">
      <c r="A21" s="606" t="s">
        <v>41</v>
      </c>
      <c r="B21" s="246">
        <f ca="1">SUM(B17:B36)</f>
        <v>11511878</v>
      </c>
      <c r="C21" s="246">
        <f t="shared" ref="C21:I21" si="8">SUM(C17:C20)</f>
        <v>332366.9375</v>
      </c>
      <c r="D21" s="246">
        <f t="shared" si="8"/>
        <v>133494</v>
      </c>
      <c r="E21" s="246">
        <f t="shared" si="8"/>
        <v>198872.9375</v>
      </c>
      <c r="F21" s="246">
        <f>SUM(F17:F20)</f>
        <v>-49200</v>
      </c>
      <c r="G21" s="246">
        <f t="shared" si="8"/>
        <v>283166.9375</v>
      </c>
      <c r="H21" s="246">
        <f t="shared" si="8"/>
        <v>353167.17109374999</v>
      </c>
      <c r="I21" s="246">
        <f t="shared" si="8"/>
        <v>375269.3029871094</v>
      </c>
    </row>
    <row r="22" spans="1:9" s="134" customFormat="1" x14ac:dyDescent="0.25">
      <c r="A22" s="477"/>
      <c r="B22" s="246"/>
      <c r="C22" s="246"/>
      <c r="D22" s="246"/>
      <c r="E22" s="246"/>
      <c r="F22" s="246"/>
      <c r="G22" s="246"/>
      <c r="H22" s="246"/>
      <c r="I22" s="386">
        <f>H22*6.9%+H22</f>
        <v>0</v>
      </c>
    </row>
    <row r="23" spans="1:9" s="470" customFormat="1" x14ac:dyDescent="0.25">
      <c r="A23" s="253" t="s">
        <v>211</v>
      </c>
      <c r="B23" s="160">
        <v>1466202</v>
      </c>
      <c r="C23" s="158">
        <f>B23*4.5%+B23</f>
        <v>1532181.09</v>
      </c>
      <c r="D23" s="158"/>
      <c r="E23" s="158">
        <f t="shared" ref="E23" si="9">C23-D23</f>
        <v>1532181.09</v>
      </c>
      <c r="F23" s="158"/>
      <c r="G23" s="158">
        <f t="shared" ref="G23" si="10">C23+F23</f>
        <v>1532181.09</v>
      </c>
      <c r="H23" s="158">
        <f>C23*6.25%+C23</f>
        <v>1627942.4081250001</v>
      </c>
      <c r="I23" s="386">
        <f>H23*6.25%+H23</f>
        <v>1729688.8086328125</v>
      </c>
    </row>
    <row r="24" spans="1:9" x14ac:dyDescent="0.25">
      <c r="A24" s="424" t="s">
        <v>211</v>
      </c>
      <c r="B24" s="246">
        <f>B23</f>
        <v>1466202</v>
      </c>
      <c r="C24" s="246">
        <f>C23</f>
        <v>1532181.09</v>
      </c>
      <c r="D24" s="246">
        <f>D23</f>
        <v>0</v>
      </c>
      <c r="E24" s="246">
        <f>E23</f>
        <v>1532181.09</v>
      </c>
      <c r="F24" s="246">
        <f t="shared" ref="F24:G24" si="11">F23</f>
        <v>0</v>
      </c>
      <c r="G24" s="246">
        <f t="shared" si="11"/>
        <v>1532181.09</v>
      </c>
      <c r="H24" s="246">
        <f>H23</f>
        <v>1627942.4081250001</v>
      </c>
      <c r="I24" s="387">
        <f>I23</f>
        <v>1729688.8086328125</v>
      </c>
    </row>
    <row r="25" spans="1:9" s="18" customFormat="1" x14ac:dyDescent="0.25">
      <c r="A25" s="253"/>
      <c r="B25" s="158"/>
      <c r="C25" s="158"/>
      <c r="D25" s="158"/>
      <c r="E25" s="158"/>
      <c r="F25" s="158"/>
      <c r="G25" s="158"/>
      <c r="H25" s="158"/>
      <c r="I25" s="386">
        <f>H25*6.9%+H25</f>
        <v>0</v>
      </c>
    </row>
    <row r="26" spans="1:9" s="18" customFormat="1" x14ac:dyDescent="0.25">
      <c r="A26" s="253" t="s">
        <v>20</v>
      </c>
      <c r="B26" s="158">
        <v>150000</v>
      </c>
      <c r="C26" s="158">
        <f>B26*6.25%+B26</f>
        <v>159375</v>
      </c>
      <c r="D26" s="158">
        <v>76767</v>
      </c>
      <c r="E26" s="158">
        <f t="shared" ref="E26" si="12">C26-D26</f>
        <v>82608</v>
      </c>
      <c r="F26" s="158"/>
      <c r="G26" s="158">
        <f t="shared" ref="G26" si="13">C26+F26</f>
        <v>159375</v>
      </c>
      <c r="H26" s="158">
        <f>C26*6.25%+C26</f>
        <v>169335.9375</v>
      </c>
      <c r="I26" s="386">
        <f>H26*6.25%+H26</f>
        <v>179919.43359375</v>
      </c>
    </row>
    <row r="27" spans="1:9" s="134" customFormat="1" x14ac:dyDescent="0.25">
      <c r="A27" s="606" t="s">
        <v>43</v>
      </c>
      <c r="B27" s="246">
        <f>SUM(B26:B26)</f>
        <v>150000</v>
      </c>
      <c r="C27" s="246">
        <f>SUM(C26:C26)</f>
        <v>159375</v>
      </c>
      <c r="D27" s="246">
        <f>SUM(D26:D26)</f>
        <v>76767</v>
      </c>
      <c r="E27" s="246">
        <f>SUM(E26:E26)</f>
        <v>82608</v>
      </c>
      <c r="F27" s="246">
        <f t="shared" ref="F27:G27" si="14">SUM(F26:F26)</f>
        <v>0</v>
      </c>
      <c r="G27" s="246">
        <f t="shared" si="14"/>
        <v>159375</v>
      </c>
      <c r="H27" s="246">
        <f>SUM(H26:H26)</f>
        <v>169335.9375</v>
      </c>
      <c r="I27" s="387">
        <f>SUM(I26:I26)</f>
        <v>179919.43359375</v>
      </c>
    </row>
    <row r="28" spans="1:9" s="18" customFormat="1" x14ac:dyDescent="0.25">
      <c r="A28" s="253"/>
      <c r="B28" s="158"/>
      <c r="C28" s="158"/>
      <c r="D28" s="158"/>
      <c r="E28" s="158"/>
      <c r="F28" s="158"/>
      <c r="G28" s="158"/>
      <c r="H28" s="158"/>
      <c r="I28" s="386">
        <f>H28*6.9%+H28</f>
        <v>0</v>
      </c>
    </row>
    <row r="29" spans="1:9" s="18" customFormat="1" x14ac:dyDescent="0.25">
      <c r="A29" s="253" t="s">
        <v>64</v>
      </c>
      <c r="B29" s="158">
        <v>5508000</v>
      </c>
      <c r="C29" s="158">
        <v>5800000</v>
      </c>
      <c r="D29" s="158">
        <v>1569652</v>
      </c>
      <c r="E29" s="158">
        <f t="shared" ref="E29:E36" si="15">C29-D29</f>
        <v>4230348</v>
      </c>
      <c r="F29" s="158">
        <v>0</v>
      </c>
      <c r="G29" s="158">
        <f t="shared" ref="G29:G36" si="16">C29+F29</f>
        <v>5800000</v>
      </c>
      <c r="H29" s="158">
        <v>5750000</v>
      </c>
      <c r="I29" s="386">
        <v>5800000</v>
      </c>
    </row>
    <row r="30" spans="1:9" s="18" customFormat="1" x14ac:dyDescent="0.25">
      <c r="A30" s="253" t="s">
        <v>719</v>
      </c>
      <c r="B30" s="158"/>
      <c r="C30" s="158">
        <v>450000</v>
      </c>
      <c r="D30" s="158"/>
      <c r="E30" s="158">
        <f t="shared" si="15"/>
        <v>450000</v>
      </c>
      <c r="F30" s="158">
        <v>-450000</v>
      </c>
      <c r="G30" s="158">
        <f t="shared" si="16"/>
        <v>0</v>
      </c>
      <c r="H30" s="158">
        <v>0</v>
      </c>
      <c r="I30" s="386">
        <v>0</v>
      </c>
    </row>
    <row r="31" spans="1:9" s="18" customFormat="1" x14ac:dyDescent="0.25">
      <c r="A31" s="253" t="s">
        <v>24</v>
      </c>
      <c r="B31" s="158">
        <v>250000</v>
      </c>
      <c r="C31" s="158">
        <v>261250</v>
      </c>
      <c r="D31" s="158"/>
      <c r="E31" s="158">
        <f t="shared" si="15"/>
        <v>261250</v>
      </c>
      <c r="F31" s="158">
        <v>-120000</v>
      </c>
      <c r="G31" s="158">
        <f t="shared" si="16"/>
        <v>141250</v>
      </c>
      <c r="H31" s="158">
        <f t="shared" ref="H31:H36" si="17">C31*6.25%+C31</f>
        <v>277578.125</v>
      </c>
      <c r="I31" s="386">
        <f t="shared" ref="I31:I35" si="18">H31*6.25%+H31</f>
        <v>294926.7578125</v>
      </c>
    </row>
    <row r="32" spans="1:9" s="18" customFormat="1" x14ac:dyDescent="0.25">
      <c r="A32" s="253" t="s">
        <v>63</v>
      </c>
      <c r="B32" s="158">
        <v>45000</v>
      </c>
      <c r="C32" s="158">
        <v>47025</v>
      </c>
      <c r="D32" s="158">
        <v>300</v>
      </c>
      <c r="E32" s="158">
        <f t="shared" si="15"/>
        <v>46725</v>
      </c>
      <c r="F32" s="158">
        <v>0</v>
      </c>
      <c r="G32" s="158">
        <f t="shared" si="16"/>
        <v>47025</v>
      </c>
      <c r="H32" s="158">
        <f t="shared" si="17"/>
        <v>49964.0625</v>
      </c>
      <c r="I32" s="386">
        <f t="shared" si="18"/>
        <v>53086.81640625</v>
      </c>
    </row>
    <row r="33" spans="1:9" s="18" customFormat="1" x14ac:dyDescent="0.25">
      <c r="A33" s="271" t="s">
        <v>57</v>
      </c>
      <c r="B33" s="158">
        <v>100000</v>
      </c>
      <c r="C33" s="158">
        <v>104500</v>
      </c>
      <c r="D33" s="158">
        <v>111126</v>
      </c>
      <c r="E33" s="158">
        <f t="shared" si="15"/>
        <v>-6626</v>
      </c>
      <c r="F33" s="158">
        <v>10000</v>
      </c>
      <c r="G33" s="158">
        <f t="shared" si="16"/>
        <v>114500</v>
      </c>
      <c r="H33" s="158">
        <f t="shared" si="17"/>
        <v>111031.25</v>
      </c>
      <c r="I33" s="386">
        <f t="shared" si="18"/>
        <v>117970.703125</v>
      </c>
    </row>
    <row r="34" spans="1:9" s="18" customFormat="1" x14ac:dyDescent="0.25">
      <c r="A34" s="271" t="s">
        <v>51</v>
      </c>
      <c r="B34" s="158">
        <v>50000</v>
      </c>
      <c r="C34" s="158">
        <v>52250</v>
      </c>
      <c r="D34" s="158">
        <v>758</v>
      </c>
      <c r="E34" s="158">
        <f t="shared" si="15"/>
        <v>51492</v>
      </c>
      <c r="F34" s="158">
        <v>0</v>
      </c>
      <c r="G34" s="158">
        <f t="shared" si="16"/>
        <v>52250</v>
      </c>
      <c r="H34" s="158">
        <f t="shared" si="17"/>
        <v>55515.625</v>
      </c>
      <c r="I34" s="386">
        <f t="shared" si="18"/>
        <v>58985.3515625</v>
      </c>
    </row>
    <row r="35" spans="1:9" s="18" customFormat="1" x14ac:dyDescent="0.25">
      <c r="A35" s="271" t="s">
        <v>10</v>
      </c>
      <c r="B35" s="158">
        <f>138000*12</f>
        <v>1656000</v>
      </c>
      <c r="C35" s="158">
        <v>1730520</v>
      </c>
      <c r="D35" s="158">
        <f>120572+83133+95912+5247+13525+3373</f>
        <v>321762</v>
      </c>
      <c r="E35" s="158">
        <f t="shared" si="15"/>
        <v>1408758</v>
      </c>
      <c r="F35" s="158">
        <v>-600000</v>
      </c>
      <c r="G35" s="158">
        <f t="shared" si="16"/>
        <v>1130520</v>
      </c>
      <c r="H35" s="158">
        <f t="shared" si="17"/>
        <v>1838677.5</v>
      </c>
      <c r="I35" s="386">
        <f t="shared" si="18"/>
        <v>1953594.84375</v>
      </c>
    </row>
    <row r="36" spans="1:9" s="18" customFormat="1" x14ac:dyDescent="0.25">
      <c r="A36" s="253" t="s">
        <v>9</v>
      </c>
      <c r="B36" s="158">
        <v>26374</v>
      </c>
      <c r="C36" s="158">
        <v>28022.375</v>
      </c>
      <c r="D36" s="158">
        <v>5338</v>
      </c>
      <c r="E36" s="158">
        <f t="shared" si="15"/>
        <v>22684.375</v>
      </c>
      <c r="F36" s="158">
        <v>0</v>
      </c>
      <c r="G36" s="158">
        <f t="shared" si="16"/>
        <v>28022.375</v>
      </c>
      <c r="H36" s="158">
        <f t="shared" si="17"/>
        <v>29773.7734375</v>
      </c>
      <c r="I36" s="386">
        <f>H36*6.25%+H36</f>
        <v>31634.63427734375</v>
      </c>
    </row>
    <row r="37" spans="1:9" s="134" customFormat="1" x14ac:dyDescent="0.25">
      <c r="A37" s="424" t="s">
        <v>42</v>
      </c>
      <c r="B37" s="246">
        <f t="shared" ref="B37:I37" si="19">SUM(B29:B36)</f>
        <v>7635374</v>
      </c>
      <c r="C37" s="246">
        <f t="shared" si="19"/>
        <v>8473567.375</v>
      </c>
      <c r="D37" s="246">
        <f t="shared" si="19"/>
        <v>2008936</v>
      </c>
      <c r="E37" s="246">
        <f t="shared" si="19"/>
        <v>6464631.375</v>
      </c>
      <c r="F37" s="246">
        <f t="shared" si="19"/>
        <v>-1160000</v>
      </c>
      <c r="G37" s="246">
        <f t="shared" si="19"/>
        <v>7313567.375</v>
      </c>
      <c r="H37" s="246">
        <f t="shared" si="19"/>
        <v>8112540.3359375</v>
      </c>
      <c r="I37" s="387">
        <f t="shared" si="19"/>
        <v>8310199.1069335938</v>
      </c>
    </row>
    <row r="38" spans="1:9" s="18" customFormat="1" x14ac:dyDescent="0.25">
      <c r="A38" s="425"/>
      <c r="B38" s="158"/>
      <c r="C38" s="158"/>
      <c r="D38" s="158"/>
      <c r="E38" s="158"/>
      <c r="F38" s="158"/>
      <c r="G38" s="158"/>
      <c r="H38" s="158"/>
      <c r="I38" s="386">
        <f>H38*6.9%+H38</f>
        <v>0</v>
      </c>
    </row>
    <row r="39" spans="1:9" s="18" customFormat="1" ht="15.75" thickBot="1" x14ac:dyDescent="0.3">
      <c r="A39" s="426" t="s">
        <v>46</v>
      </c>
      <c r="B39" s="392">
        <f t="shared" ref="B39:I39" ca="1" si="20">B15+B21+B24+B27+B37</f>
        <v>24036156</v>
      </c>
      <c r="C39" s="392">
        <f t="shared" si="20"/>
        <v>14119222.2775</v>
      </c>
      <c r="D39" s="392">
        <f t="shared" si="20"/>
        <v>4211213</v>
      </c>
      <c r="E39" s="392">
        <f t="shared" si="20"/>
        <v>9908009.2774999999</v>
      </c>
      <c r="F39" s="392">
        <f t="shared" si="20"/>
        <v>-1176768</v>
      </c>
      <c r="G39" s="392">
        <f t="shared" si="20"/>
        <v>12942454.2775</v>
      </c>
      <c r="H39" s="392">
        <f t="shared" si="20"/>
        <v>14111075.969843749</v>
      </c>
      <c r="I39" s="393">
        <f t="shared" si="20"/>
        <v>14683672.401658986</v>
      </c>
    </row>
  </sheetData>
  <pageMargins left="0.74803149606299213" right="0.74803149606299213" top="0.98425196850393704" bottom="0.98425196850393704" header="0.51181102362204722" footer="0.51181102362204722"/>
  <pageSetup scale="81" orientation="landscape" r:id="rId1"/>
  <headerFooter alignWithMargins="0">
    <oddFooter>&amp;A&amp;RPage 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31"/>
  <sheetViews>
    <sheetView view="pageBreakPreview" zoomScaleNormal="66" zoomScaleSheetLayoutView="100" workbookViewId="0">
      <selection activeCell="D1" sqref="D1"/>
    </sheetView>
  </sheetViews>
  <sheetFormatPr defaultColWidth="9.28515625" defaultRowHeight="15" x14ac:dyDescent="0.25"/>
  <cols>
    <col min="1" max="1" width="29.42578125" style="352" customWidth="1"/>
    <col min="2" max="6" width="15.7109375" style="247" customWidth="1"/>
    <col min="7" max="7" width="14.28515625" style="247" customWidth="1"/>
    <col min="8" max="8" width="16.42578125" style="352" customWidth="1"/>
    <col min="9" max="16384" width="9.28515625" style="19"/>
  </cols>
  <sheetData>
    <row r="1" spans="1:8" s="18" customFormat="1" ht="18.75" x14ac:dyDescent="0.3">
      <c r="A1" s="515" t="s">
        <v>542</v>
      </c>
      <c r="B1" s="363"/>
      <c r="C1" s="363"/>
      <c r="D1" s="363"/>
      <c r="E1" s="363"/>
      <c r="F1" s="363"/>
      <c r="G1" s="363"/>
      <c r="H1" s="272"/>
    </row>
    <row r="2" spans="1:8" s="18" customFormat="1" ht="16.5" thickBot="1" x14ac:dyDescent="0.3">
      <c r="A2" s="520"/>
      <c r="B2" s="364"/>
      <c r="C2" s="364"/>
      <c r="D2" s="364"/>
      <c r="E2" s="364"/>
      <c r="F2" s="364"/>
      <c r="G2" s="364"/>
      <c r="H2" s="272"/>
    </row>
    <row r="3" spans="1:8" s="18" customFormat="1" ht="50.25" customHeight="1" thickBot="1" x14ac:dyDescent="0.3">
      <c r="A3" s="517" t="s">
        <v>39</v>
      </c>
      <c r="B3" s="384" t="s">
        <v>442</v>
      </c>
      <c r="C3" s="604" t="s">
        <v>800</v>
      </c>
      <c r="D3" s="714" t="s">
        <v>87</v>
      </c>
      <c r="E3" s="384" t="s">
        <v>164</v>
      </c>
      <c r="F3" s="605" t="s">
        <v>789</v>
      </c>
      <c r="G3" s="384" t="s">
        <v>556</v>
      </c>
      <c r="H3" s="408" t="s">
        <v>644</v>
      </c>
    </row>
    <row r="4" spans="1:8" s="469" customFormat="1" x14ac:dyDescent="0.25">
      <c r="A4" s="253" t="s">
        <v>2</v>
      </c>
      <c r="B4" s="158">
        <v>3344599.125</v>
      </c>
      <c r="C4" s="158">
        <v>1689764</v>
      </c>
      <c r="D4" s="158">
        <f>B4-C4</f>
        <v>1654835.125</v>
      </c>
      <c r="E4" s="91">
        <v>0</v>
      </c>
      <c r="F4" s="158">
        <f>B4+E4</f>
        <v>3344599.125</v>
      </c>
      <c r="G4" s="158">
        <f>B4*6.25%+B4</f>
        <v>3553636.5703125</v>
      </c>
      <c r="H4" s="386">
        <f>G4*6.25%+G4</f>
        <v>3775738.8559570313</v>
      </c>
    </row>
    <row r="5" spans="1:8" s="469" customFormat="1" x14ac:dyDescent="0.25">
      <c r="A5" s="253" t="s">
        <v>3</v>
      </c>
      <c r="B5" s="158">
        <v>223443.75</v>
      </c>
      <c r="C5" s="158">
        <v>50071</v>
      </c>
      <c r="D5" s="158">
        <f t="shared" ref="D5:D8" si="0">B5-C5</f>
        <v>173372.75</v>
      </c>
      <c r="E5" s="91">
        <v>0</v>
      </c>
      <c r="F5" s="158">
        <f>B5+E5</f>
        <v>223443.75</v>
      </c>
      <c r="G5" s="158">
        <f>B5*6.25%+B5</f>
        <v>237408.984375</v>
      </c>
      <c r="H5" s="386">
        <f t="shared" ref="H5:H8" si="1">G5*6.25%+G5</f>
        <v>252247.0458984375</v>
      </c>
    </row>
    <row r="6" spans="1:8" s="469" customFormat="1" x14ac:dyDescent="0.25">
      <c r="A6" s="253" t="s">
        <v>4</v>
      </c>
      <c r="B6" s="158">
        <v>51000</v>
      </c>
      <c r="C6" s="158">
        <v>12675</v>
      </c>
      <c r="D6" s="158">
        <f t="shared" si="0"/>
        <v>38325</v>
      </c>
      <c r="E6" s="91">
        <v>0</v>
      </c>
      <c r="F6" s="158">
        <f>B6+E6</f>
        <v>51000</v>
      </c>
      <c r="G6" s="158">
        <f>B6*6.25%+B6</f>
        <v>54187.5</v>
      </c>
      <c r="H6" s="386">
        <f t="shared" si="1"/>
        <v>57574.21875</v>
      </c>
    </row>
    <row r="7" spans="1:8" s="469" customFormat="1" x14ac:dyDescent="0.25">
      <c r="A7" s="253" t="s">
        <v>173</v>
      </c>
      <c r="B7" s="158">
        <v>225233</v>
      </c>
      <c r="C7" s="158">
        <v>76730</v>
      </c>
      <c r="D7" s="158">
        <f t="shared" si="0"/>
        <v>148503</v>
      </c>
      <c r="E7" s="91">
        <v>0</v>
      </c>
      <c r="F7" s="158">
        <f>B7+E7</f>
        <v>225233</v>
      </c>
      <c r="G7" s="158">
        <f>B7*6.25%+B7</f>
        <v>239310.0625</v>
      </c>
      <c r="H7" s="386">
        <f>G7*6.25%+G7</f>
        <v>254266.94140625</v>
      </c>
    </row>
    <row r="8" spans="1:8" s="469" customFormat="1" x14ac:dyDescent="0.25">
      <c r="A8" s="253" t="s">
        <v>5</v>
      </c>
      <c r="B8" s="158">
        <v>1247294.25</v>
      </c>
      <c r="C8" s="158">
        <v>466813</v>
      </c>
      <c r="D8" s="158">
        <f t="shared" si="0"/>
        <v>780481.25</v>
      </c>
      <c r="E8" s="91">
        <v>0</v>
      </c>
      <c r="F8" s="158">
        <f>B8+E8</f>
        <v>1247294.25</v>
      </c>
      <c r="G8" s="158">
        <f>B8*6.25%+B8</f>
        <v>1325250.140625</v>
      </c>
      <c r="H8" s="386">
        <f t="shared" si="1"/>
        <v>1408078.2744140625</v>
      </c>
    </row>
    <row r="9" spans="1:8" s="472" customFormat="1" x14ac:dyDescent="0.25">
      <c r="A9" s="424" t="s">
        <v>40</v>
      </c>
      <c r="B9" s="246">
        <f>SUM(B4:B8)</f>
        <v>5091570.125</v>
      </c>
      <c r="C9" s="246">
        <f>SUM(C4:C8)</f>
        <v>2296053</v>
      </c>
      <c r="D9" s="246">
        <f>SUM(D4:D8)</f>
        <v>2795517.125</v>
      </c>
      <c r="E9" s="246">
        <f t="shared" ref="E9:F9" si="2">SUM(E4:E8)</f>
        <v>0</v>
      </c>
      <c r="F9" s="246">
        <f t="shared" si="2"/>
        <v>5091570.125</v>
      </c>
      <c r="G9" s="246">
        <f>SUM(G4:G8)</f>
        <v>5409793.2578125</v>
      </c>
      <c r="H9" s="387">
        <f>SUM(H4:H8)</f>
        <v>5747905.3364257813</v>
      </c>
    </row>
    <row r="10" spans="1:8" s="469" customFormat="1" x14ac:dyDescent="0.25">
      <c r="A10" s="253"/>
      <c r="B10" s="158"/>
      <c r="C10" s="158"/>
      <c r="D10" s="158"/>
      <c r="E10" s="158"/>
      <c r="F10" s="158"/>
      <c r="G10" s="158"/>
      <c r="H10" s="386">
        <f>G10*6.9%+G10</f>
        <v>0</v>
      </c>
    </row>
    <row r="11" spans="1:8" s="469" customFormat="1" x14ac:dyDescent="0.25">
      <c r="A11" s="253" t="s">
        <v>6</v>
      </c>
      <c r="B11" s="158">
        <v>275814.375</v>
      </c>
      <c r="C11" s="158">
        <v>113866</v>
      </c>
      <c r="D11" s="158">
        <f t="shared" ref="D11:D15" si="3">B11-C11</f>
        <v>161948.375</v>
      </c>
      <c r="E11" s="91">
        <v>-20000</v>
      </c>
      <c r="F11" s="158">
        <f>B11+E11</f>
        <v>255814.375</v>
      </c>
      <c r="G11" s="158">
        <f>B11*6.25%+B11</f>
        <v>293052.7734375</v>
      </c>
      <c r="H11" s="386">
        <f>G11*6.25%+G11</f>
        <v>311368.57177734375</v>
      </c>
    </row>
    <row r="12" spans="1:8" s="469" customFormat="1" x14ac:dyDescent="0.25">
      <c r="A12" s="253" t="s">
        <v>7</v>
      </c>
      <c r="B12" s="158">
        <v>33446.4375</v>
      </c>
      <c r="C12" s="158">
        <v>4462</v>
      </c>
      <c r="D12" s="158">
        <f t="shared" si="3"/>
        <v>28984.4375</v>
      </c>
      <c r="E12" s="91">
        <v>-10000</v>
      </c>
      <c r="F12" s="158">
        <f>B12+E12</f>
        <v>23446.4375</v>
      </c>
      <c r="G12" s="158">
        <f>B12*6.25%+B12</f>
        <v>35536.83984375</v>
      </c>
      <c r="H12" s="386">
        <f t="shared" ref="H12:H13" si="4">G12*6.25%+G12</f>
        <v>37757.892333984375</v>
      </c>
    </row>
    <row r="13" spans="1:8" s="469" customFormat="1" x14ac:dyDescent="0.25">
      <c r="A13" s="253" t="s">
        <v>8</v>
      </c>
      <c r="B13" s="158">
        <v>746288.3125</v>
      </c>
      <c r="C13" s="158">
        <v>336989</v>
      </c>
      <c r="D13" s="158">
        <f t="shared" si="3"/>
        <v>409299.3125</v>
      </c>
      <c r="E13" s="91">
        <v>-50000</v>
      </c>
      <c r="F13" s="158">
        <f>B13+E13</f>
        <v>696288.3125</v>
      </c>
      <c r="G13" s="158">
        <f>B13*6.25%+B13</f>
        <v>792931.33203125</v>
      </c>
      <c r="H13" s="386">
        <f t="shared" si="4"/>
        <v>842489.54028320313</v>
      </c>
    </row>
    <row r="14" spans="1:8" s="474" customFormat="1" x14ac:dyDescent="0.25">
      <c r="A14" s="96" t="s">
        <v>396</v>
      </c>
      <c r="B14" s="91">
        <v>34200</v>
      </c>
      <c r="C14" s="91"/>
      <c r="D14" s="158">
        <f t="shared" si="3"/>
        <v>34200</v>
      </c>
      <c r="E14" s="91">
        <v>-34200</v>
      </c>
      <c r="F14" s="158">
        <f>B14+E14</f>
        <v>0</v>
      </c>
      <c r="G14" s="91">
        <v>36046.800000000003</v>
      </c>
      <c r="H14" s="404">
        <v>38534.029200000004</v>
      </c>
    </row>
    <row r="15" spans="1:8" x14ac:dyDescent="0.25">
      <c r="A15" s="785" t="s">
        <v>872</v>
      </c>
      <c r="B15" s="247">
        <v>0</v>
      </c>
      <c r="C15" s="247">
        <v>0</v>
      </c>
      <c r="D15" s="247">
        <f t="shared" si="3"/>
        <v>0</v>
      </c>
      <c r="E15" s="247">
        <v>324</v>
      </c>
      <c r="F15" s="158">
        <f>B15+E15</f>
        <v>324</v>
      </c>
      <c r="G15" s="247">
        <v>0</v>
      </c>
      <c r="H15" s="352">
        <v>0</v>
      </c>
    </row>
    <row r="16" spans="1:8" s="134" customFormat="1" x14ac:dyDescent="0.25">
      <c r="A16" s="424" t="s">
        <v>41</v>
      </c>
      <c r="B16" s="246">
        <f>SUM(B11:B15)</f>
        <v>1089749.125</v>
      </c>
      <c r="C16" s="246">
        <f t="shared" ref="C16:F16" si="5">SUM(C11:C15)</f>
        <v>455317</v>
      </c>
      <c r="D16" s="246">
        <f t="shared" si="5"/>
        <v>634432.125</v>
      </c>
      <c r="E16" s="246">
        <f t="shared" si="5"/>
        <v>-113876</v>
      </c>
      <c r="F16" s="246">
        <f t="shared" si="5"/>
        <v>975873.125</v>
      </c>
      <c r="G16" s="246">
        <f>SUM(G11:G14)</f>
        <v>1157567.7453125</v>
      </c>
      <c r="H16" s="246">
        <f>SUM(H11:H14)</f>
        <v>1230150.0335945312</v>
      </c>
    </row>
    <row r="17" spans="1:8" s="134" customFormat="1" x14ac:dyDescent="0.25">
      <c r="A17" s="477"/>
      <c r="B17" s="246"/>
      <c r="C17" s="246"/>
      <c r="D17" s="246"/>
      <c r="E17" s="246"/>
      <c r="F17" s="246"/>
      <c r="G17" s="246"/>
      <c r="H17" s="386">
        <f>G17*6.9%+G17</f>
        <v>0</v>
      </c>
    </row>
    <row r="18" spans="1:8" s="134" customFormat="1" x14ac:dyDescent="0.25">
      <c r="A18" s="477"/>
      <c r="B18" s="246"/>
      <c r="C18" s="246"/>
      <c r="D18" s="246"/>
      <c r="E18" s="246"/>
      <c r="F18" s="246"/>
      <c r="G18" s="246"/>
      <c r="H18" s="386">
        <f>G18*6.9%+G18</f>
        <v>0</v>
      </c>
    </row>
    <row r="19" spans="1:8" s="470" customFormat="1" x14ac:dyDescent="0.25">
      <c r="A19" s="253" t="s">
        <v>211</v>
      </c>
      <c r="B19" s="158">
        <v>97791.1</v>
      </c>
      <c r="C19" s="158"/>
      <c r="D19" s="158">
        <f t="shared" ref="D19" si="6">B19-C19</f>
        <v>97791.1</v>
      </c>
      <c r="E19" s="91">
        <v>0</v>
      </c>
      <c r="F19" s="158">
        <f>B19+E19</f>
        <v>97791.1</v>
      </c>
      <c r="G19" s="158">
        <f>B19*6.25%+B19</f>
        <v>103903.04375000001</v>
      </c>
      <c r="H19" s="386">
        <f>G19*6.25%+G19</f>
        <v>110396.98398437501</v>
      </c>
    </row>
    <row r="20" spans="1:8" x14ac:dyDescent="0.25">
      <c r="A20" s="424" t="s">
        <v>211</v>
      </c>
      <c r="B20" s="246">
        <f>B19</f>
        <v>97791.1</v>
      </c>
      <c r="C20" s="246">
        <f>C19</f>
        <v>0</v>
      </c>
      <c r="D20" s="246">
        <f>D19</f>
        <v>97791.1</v>
      </c>
      <c r="E20" s="246">
        <f t="shared" ref="E20:F20" si="7">E19</f>
        <v>0</v>
      </c>
      <c r="F20" s="246">
        <f t="shared" si="7"/>
        <v>97791.1</v>
      </c>
      <c r="G20" s="246">
        <f>G19</f>
        <v>103903.04375000001</v>
      </c>
      <c r="H20" s="387">
        <f>SUM(H19)</f>
        <v>110396.98398437501</v>
      </c>
    </row>
    <row r="21" spans="1:8" s="93" customFormat="1" x14ac:dyDescent="0.25">
      <c r="A21" s="253"/>
      <c r="B21" s="158"/>
      <c r="C21" s="158"/>
      <c r="D21" s="158"/>
      <c r="E21" s="158"/>
      <c r="F21" s="158"/>
      <c r="G21" s="158"/>
      <c r="H21" s="386">
        <f>G21*6.9%+G21</f>
        <v>0</v>
      </c>
    </row>
    <row r="22" spans="1:8" s="93" customFormat="1" x14ac:dyDescent="0.25">
      <c r="A22" s="752" t="s">
        <v>251</v>
      </c>
      <c r="B22" s="158">
        <v>10540</v>
      </c>
      <c r="C22" s="158"/>
      <c r="D22" s="158">
        <f t="shared" ref="D22:D28" si="8">B22-C22</f>
        <v>10540</v>
      </c>
      <c r="E22" s="158">
        <v>-10540</v>
      </c>
      <c r="F22" s="158">
        <f t="shared" ref="F22:F28" si="9">B22+E22</f>
        <v>0</v>
      </c>
      <c r="G22" s="158">
        <v>11109</v>
      </c>
      <c r="H22" s="386">
        <v>0</v>
      </c>
    </row>
    <row r="23" spans="1:8" s="93" customFormat="1" x14ac:dyDescent="0.25">
      <c r="A23" s="752" t="s">
        <v>26</v>
      </c>
      <c r="B23" s="158">
        <v>0</v>
      </c>
      <c r="C23" s="158"/>
      <c r="D23" s="158">
        <f t="shared" si="8"/>
        <v>0</v>
      </c>
      <c r="E23" s="158">
        <v>0</v>
      </c>
      <c r="F23" s="158">
        <f t="shared" si="9"/>
        <v>0</v>
      </c>
      <c r="G23" s="158">
        <v>0</v>
      </c>
      <c r="H23" s="386">
        <v>0</v>
      </c>
    </row>
    <row r="24" spans="1:8" s="93" customFormat="1" x14ac:dyDescent="0.25">
      <c r="A24" s="752" t="s">
        <v>59</v>
      </c>
      <c r="B24" s="158">
        <v>15675</v>
      </c>
      <c r="C24" s="158"/>
      <c r="D24" s="158">
        <f t="shared" si="8"/>
        <v>15675</v>
      </c>
      <c r="E24" s="158">
        <v>-15675</v>
      </c>
      <c r="F24" s="158">
        <f t="shared" si="9"/>
        <v>0</v>
      </c>
      <c r="G24" s="158">
        <f>B24*6.25%+B24</f>
        <v>16654.6875</v>
      </c>
      <c r="H24" s="386">
        <f>G24*6.25%+G24</f>
        <v>17695.60546875</v>
      </c>
    </row>
    <row r="25" spans="1:8" s="93" customFormat="1" x14ac:dyDescent="0.25">
      <c r="A25" s="752" t="s">
        <v>1</v>
      </c>
      <c r="B25" s="158">
        <v>395532.5</v>
      </c>
      <c r="C25" s="158">
        <v>71974</v>
      </c>
      <c r="D25" s="158">
        <f t="shared" si="8"/>
        <v>323558.5</v>
      </c>
      <c r="E25" s="158">
        <v>-250000</v>
      </c>
      <c r="F25" s="158">
        <f t="shared" si="9"/>
        <v>145532.5</v>
      </c>
      <c r="G25" s="158">
        <f>B25*6.25%+B25</f>
        <v>420253.28125</v>
      </c>
      <c r="H25" s="386">
        <f>G25*6.25%+G25</f>
        <v>446519.111328125</v>
      </c>
    </row>
    <row r="26" spans="1:8" s="93" customFormat="1" x14ac:dyDescent="0.25">
      <c r="A26" s="752" t="s">
        <v>750</v>
      </c>
      <c r="B26" s="158">
        <v>800000</v>
      </c>
      <c r="C26" s="158"/>
      <c r="D26" s="158">
        <f t="shared" si="8"/>
        <v>800000</v>
      </c>
      <c r="E26" s="158">
        <v>-800000</v>
      </c>
      <c r="F26" s="158">
        <f t="shared" si="9"/>
        <v>0</v>
      </c>
      <c r="G26" s="158">
        <v>1000000</v>
      </c>
      <c r="H26" s="386">
        <v>0</v>
      </c>
    </row>
    <row r="27" spans="1:8" s="18" customFormat="1" x14ac:dyDescent="0.25">
      <c r="A27" s="752" t="s">
        <v>9</v>
      </c>
      <c r="B27" s="158">
        <v>33446.4375</v>
      </c>
      <c r="C27" s="158">
        <v>17889</v>
      </c>
      <c r="D27" s="158">
        <f t="shared" si="8"/>
        <v>15557.4375</v>
      </c>
      <c r="E27" s="158">
        <v>0</v>
      </c>
      <c r="F27" s="158">
        <f t="shared" si="9"/>
        <v>33446.4375</v>
      </c>
      <c r="G27" s="158">
        <f>B27*6.25%+B27</f>
        <v>35536.83984375</v>
      </c>
      <c r="H27" s="386">
        <f>G27*6.25%+G27</f>
        <v>37757.892333984375</v>
      </c>
    </row>
    <row r="28" spans="1:8" s="18" customFormat="1" x14ac:dyDescent="0.25">
      <c r="A28" s="752" t="s">
        <v>76</v>
      </c>
      <c r="B28" s="158">
        <v>1581000</v>
      </c>
      <c r="C28" s="158">
        <v>2180184</v>
      </c>
      <c r="D28" s="158">
        <f t="shared" si="8"/>
        <v>-599184</v>
      </c>
      <c r="E28" s="158">
        <v>1500000</v>
      </c>
      <c r="F28" s="158">
        <f t="shared" si="9"/>
        <v>3081000</v>
      </c>
      <c r="G28" s="158">
        <v>1666374</v>
      </c>
      <c r="H28" s="386">
        <v>0</v>
      </c>
    </row>
    <row r="29" spans="1:8" s="93" customFormat="1" x14ac:dyDescent="0.25">
      <c r="A29" s="757" t="s">
        <v>42</v>
      </c>
      <c r="B29" s="246">
        <f t="shared" ref="B29:H29" si="10">SUM(B21:B28)</f>
        <v>2836193.9375</v>
      </c>
      <c r="C29" s="246">
        <f t="shared" si="10"/>
        <v>2270047</v>
      </c>
      <c r="D29" s="246">
        <f t="shared" si="10"/>
        <v>566146.9375</v>
      </c>
      <c r="E29" s="246">
        <f t="shared" si="10"/>
        <v>423785</v>
      </c>
      <c r="F29" s="246">
        <f t="shared" si="10"/>
        <v>3259978.9375</v>
      </c>
      <c r="G29" s="246">
        <f t="shared" si="10"/>
        <v>3149927.80859375</v>
      </c>
      <c r="H29" s="387">
        <f t="shared" si="10"/>
        <v>501972.60913085938</v>
      </c>
    </row>
    <row r="30" spans="1:8" s="93" customFormat="1" x14ac:dyDescent="0.25">
      <c r="A30" s="425"/>
      <c r="B30" s="158"/>
      <c r="C30" s="158"/>
      <c r="D30" s="158"/>
      <c r="E30" s="158"/>
      <c r="F30" s="158"/>
      <c r="G30" s="158"/>
      <c r="H30" s="386">
        <f>G30*6.9%+G30</f>
        <v>0</v>
      </c>
    </row>
    <row r="31" spans="1:8" s="18" customFormat="1" ht="15.75" thickBot="1" x14ac:dyDescent="0.3">
      <c r="A31" s="426" t="s">
        <v>46</v>
      </c>
      <c r="B31" s="392">
        <f t="shared" ref="B31:H31" si="11">B9+B16+B20+B29</f>
        <v>9115304.2874999996</v>
      </c>
      <c r="C31" s="392">
        <f t="shared" si="11"/>
        <v>5021417</v>
      </c>
      <c r="D31" s="392">
        <f t="shared" si="11"/>
        <v>4093887.2875000001</v>
      </c>
      <c r="E31" s="392">
        <f t="shared" si="11"/>
        <v>309909</v>
      </c>
      <c r="F31" s="392">
        <f t="shared" si="11"/>
        <v>9425213.2874999996</v>
      </c>
      <c r="G31" s="392">
        <f t="shared" si="11"/>
        <v>9821191.85546875</v>
      </c>
      <c r="H31" s="393">
        <f t="shared" si="11"/>
        <v>7590424.963135547</v>
      </c>
    </row>
  </sheetData>
  <phoneticPr fontId="8" type="noConversion"/>
  <pageMargins left="1.3130314960629921" right="0.74803149606299213" top="0.98425196850393704" bottom="0.98425196850393704" header="0.51181102362204722" footer="0.51181102362204722"/>
  <pageSetup paperSize="9" scale="80" orientation="landscape" r:id="rId1"/>
  <headerFooter alignWithMargins="0">
    <oddFooter>&amp;C&amp;A&amp;RPage 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view="pageBreakPreview" topLeftCell="A17" zoomScaleNormal="88" zoomScaleSheetLayoutView="100" workbookViewId="0">
      <selection activeCell="E35" sqref="E35"/>
    </sheetView>
  </sheetViews>
  <sheetFormatPr defaultColWidth="9.28515625" defaultRowHeight="15" x14ac:dyDescent="0.25"/>
  <cols>
    <col min="1" max="1" width="29.42578125" style="608" customWidth="1"/>
    <col min="2" max="2" width="16.7109375" style="247" hidden="1" customWidth="1"/>
    <col min="3" max="8" width="16.7109375" style="247" customWidth="1"/>
    <col min="9" max="9" width="13.42578125" style="352" customWidth="1"/>
    <col min="10" max="12" width="10" style="352" hidden="1" customWidth="1"/>
    <col min="13" max="13" width="9.28515625" style="352"/>
    <col min="14" max="16384" width="9.28515625" style="97"/>
  </cols>
  <sheetData>
    <row r="1" spans="1:13" ht="37.5" x14ac:dyDescent="0.3">
      <c r="A1" s="607" t="s">
        <v>541</v>
      </c>
      <c r="B1" s="361"/>
      <c r="C1" s="361"/>
      <c r="D1" s="361"/>
      <c r="E1" s="361"/>
      <c r="F1" s="361"/>
      <c r="G1" s="361"/>
      <c r="H1" s="361"/>
    </row>
    <row r="2" spans="1:13" ht="15.75" thickBot="1" x14ac:dyDescent="0.3"/>
    <row r="3" spans="1:13" s="93" customFormat="1" ht="43.5" customHeight="1" thickBot="1" x14ac:dyDescent="0.3">
      <c r="A3" s="533" t="s">
        <v>39</v>
      </c>
      <c r="B3" s="860" t="s">
        <v>393</v>
      </c>
      <c r="C3" s="860" t="s">
        <v>442</v>
      </c>
      <c r="D3" s="862" t="s">
        <v>800</v>
      </c>
      <c r="E3" s="714" t="s">
        <v>87</v>
      </c>
      <c r="F3" s="860" t="s">
        <v>164</v>
      </c>
      <c r="G3" s="605" t="s">
        <v>789</v>
      </c>
      <c r="H3" s="860" t="s">
        <v>556</v>
      </c>
      <c r="I3" s="408" t="s">
        <v>644</v>
      </c>
      <c r="J3" s="754"/>
      <c r="K3" s="754"/>
      <c r="L3" s="754"/>
      <c r="M3" s="754"/>
    </row>
    <row r="4" spans="1:13" s="469" customFormat="1" x14ac:dyDescent="0.25">
      <c r="A4" s="836" t="s">
        <v>2</v>
      </c>
      <c r="B4" s="158">
        <v>1554808</v>
      </c>
      <c r="C4" s="158">
        <f>B4*6.25%+B4</f>
        <v>1651983.5</v>
      </c>
      <c r="D4" s="158">
        <v>858797</v>
      </c>
      <c r="E4" s="158">
        <f>C4-D4</f>
        <v>793186.5</v>
      </c>
      <c r="F4" s="158">
        <v>0</v>
      </c>
      <c r="G4" s="158">
        <f>C4+F4</f>
        <v>1651983.5</v>
      </c>
      <c r="H4" s="158">
        <f>C4*6.25%+C4</f>
        <v>1755232.46875</v>
      </c>
      <c r="I4" s="386">
        <f>H4*6.25%+H4</f>
        <v>1864934.498046875</v>
      </c>
      <c r="J4" s="754"/>
      <c r="K4" s="754"/>
      <c r="L4" s="754"/>
      <c r="M4" s="754"/>
    </row>
    <row r="5" spans="1:13" s="469" customFormat="1" x14ac:dyDescent="0.25">
      <c r="A5" s="836" t="s">
        <v>3</v>
      </c>
      <c r="B5" s="158">
        <v>129567</v>
      </c>
      <c r="C5" s="158">
        <f t="shared" ref="C5:I8" si="0">B5*6.25%+B5</f>
        <v>137664.9375</v>
      </c>
      <c r="D5" s="158">
        <v>87594</v>
      </c>
      <c r="E5" s="158">
        <f t="shared" ref="E5:E8" si="1">C5-D5</f>
        <v>50070.9375</v>
      </c>
      <c r="F5" s="158">
        <v>0</v>
      </c>
      <c r="G5" s="158">
        <f t="shared" ref="G5:G8" si="2">C5+F5</f>
        <v>137664.9375</v>
      </c>
      <c r="H5" s="158">
        <f>C5*6.25%+C5</f>
        <v>146268.99609375</v>
      </c>
      <c r="I5" s="386">
        <f t="shared" si="0"/>
        <v>155410.80834960938</v>
      </c>
      <c r="J5" s="754"/>
      <c r="K5" s="754"/>
      <c r="L5" s="754"/>
      <c r="M5" s="754"/>
    </row>
    <row r="6" spans="1:13" s="469" customFormat="1" x14ac:dyDescent="0.25">
      <c r="A6" s="836" t="s">
        <v>4</v>
      </c>
      <c r="B6" s="158">
        <v>28800</v>
      </c>
      <c r="C6" s="158">
        <f t="shared" si="0"/>
        <v>30600</v>
      </c>
      <c r="D6" s="158">
        <v>17361</v>
      </c>
      <c r="E6" s="158">
        <f t="shared" si="1"/>
        <v>13239</v>
      </c>
      <c r="F6" s="158">
        <v>0</v>
      </c>
      <c r="G6" s="158">
        <f t="shared" si="2"/>
        <v>30600</v>
      </c>
      <c r="H6" s="158">
        <f>C6*6.25%+C6</f>
        <v>32512.5</v>
      </c>
      <c r="I6" s="386">
        <f t="shared" si="0"/>
        <v>34544.53125</v>
      </c>
      <c r="J6" s="754"/>
      <c r="K6" s="754"/>
      <c r="L6" s="754"/>
      <c r="M6" s="754"/>
    </row>
    <row r="7" spans="1:13" s="469" customFormat="1" x14ac:dyDescent="0.25">
      <c r="A7" s="836" t="s">
        <v>173</v>
      </c>
      <c r="B7" s="158"/>
      <c r="C7" s="158">
        <v>113759</v>
      </c>
      <c r="D7" s="158">
        <v>43158</v>
      </c>
      <c r="E7" s="158">
        <f t="shared" si="1"/>
        <v>70601</v>
      </c>
      <c r="F7" s="158">
        <v>0</v>
      </c>
      <c r="G7" s="158">
        <f t="shared" si="2"/>
        <v>113759</v>
      </c>
      <c r="H7" s="158">
        <f>C7*6.25%+C7</f>
        <v>120868.9375</v>
      </c>
      <c r="I7" s="386">
        <f>H7*6.25%+H7</f>
        <v>128423.24609375</v>
      </c>
      <c r="J7" s="754"/>
      <c r="K7" s="754"/>
      <c r="L7" s="754"/>
      <c r="M7" s="754"/>
    </row>
    <row r="8" spans="1:13" s="469" customFormat="1" x14ac:dyDescent="0.25">
      <c r="A8" s="836" t="s">
        <v>5</v>
      </c>
      <c r="B8" s="158">
        <v>603043</v>
      </c>
      <c r="C8" s="158">
        <f t="shared" si="0"/>
        <v>640733.1875</v>
      </c>
      <c r="D8" s="158">
        <v>324308</v>
      </c>
      <c r="E8" s="158">
        <f t="shared" si="1"/>
        <v>316425.1875</v>
      </c>
      <c r="F8" s="158">
        <v>0</v>
      </c>
      <c r="G8" s="158">
        <f t="shared" si="2"/>
        <v>640733.1875</v>
      </c>
      <c r="H8" s="158">
        <f>C8*6.25%+C8</f>
        <v>680779.01171875</v>
      </c>
      <c r="I8" s="386">
        <f t="shared" si="0"/>
        <v>723327.69995117188</v>
      </c>
      <c r="J8" s="754"/>
      <c r="K8" s="754"/>
      <c r="L8" s="754"/>
      <c r="M8" s="754"/>
    </row>
    <row r="9" spans="1:13" s="472" customFormat="1" ht="30" x14ac:dyDescent="0.25">
      <c r="A9" s="606" t="s">
        <v>40</v>
      </c>
      <c r="B9" s="246">
        <f>SUM(B4:B8)</f>
        <v>2316218</v>
      </c>
      <c r="C9" s="351">
        <f>SUM(C4:C8)</f>
        <v>2574740.625</v>
      </c>
      <c r="D9" s="351">
        <f>SUM(D4:D8)</f>
        <v>1331218</v>
      </c>
      <c r="E9" s="351">
        <f>SUM(E4:E8)</f>
        <v>1243522.625</v>
      </c>
      <c r="F9" s="351">
        <f t="shared" ref="F9:G9" si="3">SUM(F4:F8)</f>
        <v>0</v>
      </c>
      <c r="G9" s="351">
        <f t="shared" si="3"/>
        <v>2574740.625</v>
      </c>
      <c r="H9" s="351">
        <f>SUM(H4:H8)</f>
        <v>2735661.9140625</v>
      </c>
      <c r="I9" s="387">
        <f>SUM(I4:I8)</f>
        <v>2906640.7836914063</v>
      </c>
      <c r="J9" s="479"/>
      <c r="K9" s="479"/>
      <c r="L9" s="479"/>
      <c r="M9" s="479"/>
    </row>
    <row r="10" spans="1:13" s="469" customFormat="1" x14ac:dyDescent="0.25">
      <c r="A10" s="836"/>
      <c r="B10" s="158"/>
      <c r="C10" s="239"/>
      <c r="D10" s="239"/>
      <c r="E10" s="239"/>
      <c r="F10" s="239"/>
      <c r="G10" s="239"/>
      <c r="H10" s="158"/>
      <c r="I10" s="386">
        <f>H10*6.9%+H10</f>
        <v>0</v>
      </c>
      <c r="J10" s="754"/>
      <c r="K10" s="754"/>
      <c r="L10" s="754"/>
      <c r="M10" s="754"/>
    </row>
    <row r="11" spans="1:13" s="469" customFormat="1" x14ac:dyDescent="0.25">
      <c r="A11" s="836" t="s">
        <v>6</v>
      </c>
      <c r="B11" s="158">
        <v>139356</v>
      </c>
      <c r="C11" s="158">
        <f>B11*6.25%+B11</f>
        <v>148065.75</v>
      </c>
      <c r="D11" s="158">
        <v>56366</v>
      </c>
      <c r="E11" s="158">
        <f t="shared" ref="E11:E14" si="4">C11-D11</f>
        <v>91699.75</v>
      </c>
      <c r="F11" s="158">
        <v>-20000</v>
      </c>
      <c r="G11" s="158">
        <f t="shared" ref="G11:G15" si="5">C11+F11</f>
        <v>128065.75</v>
      </c>
      <c r="H11" s="158">
        <f>C11*6.25%+C11</f>
        <v>157319.859375</v>
      </c>
      <c r="I11" s="386">
        <f>H11*6.25%+H11</f>
        <v>167152.3505859375</v>
      </c>
      <c r="J11" s="754"/>
      <c r="K11" s="754"/>
      <c r="L11" s="754"/>
      <c r="M11" s="754"/>
    </row>
    <row r="12" spans="1:13" s="469" customFormat="1" x14ac:dyDescent="0.25">
      <c r="A12" s="836" t="s">
        <v>7</v>
      </c>
      <c r="B12" s="158">
        <v>15548</v>
      </c>
      <c r="C12" s="158">
        <f t="shared" ref="C12:I13" si="6">B12*6.25%+B12</f>
        <v>16519.75</v>
      </c>
      <c r="D12" s="158">
        <v>2677</v>
      </c>
      <c r="E12" s="158">
        <f t="shared" si="4"/>
        <v>13842.75</v>
      </c>
      <c r="F12" s="158">
        <v>-10000</v>
      </c>
      <c r="G12" s="158">
        <f t="shared" si="5"/>
        <v>6519.75</v>
      </c>
      <c r="H12" s="158">
        <f>C12*6.25%+C12</f>
        <v>17552.234375</v>
      </c>
      <c r="I12" s="386">
        <f t="shared" si="6"/>
        <v>18649.2490234375</v>
      </c>
      <c r="J12" s="754"/>
      <c r="K12" s="754"/>
      <c r="L12" s="754"/>
      <c r="M12" s="754"/>
    </row>
    <row r="13" spans="1:13" s="469" customFormat="1" x14ac:dyDescent="0.25">
      <c r="A13" s="836" t="s">
        <v>53</v>
      </c>
      <c r="B13" s="158">
        <v>342058</v>
      </c>
      <c r="C13" s="158">
        <f t="shared" si="6"/>
        <v>363436.625</v>
      </c>
      <c r="D13" s="158">
        <v>188374</v>
      </c>
      <c r="E13" s="158">
        <f t="shared" si="4"/>
        <v>175062.625</v>
      </c>
      <c r="F13" s="158">
        <v>0</v>
      </c>
      <c r="G13" s="158">
        <f t="shared" si="5"/>
        <v>363436.625</v>
      </c>
      <c r="H13" s="158">
        <f>C13*6.25%+C13</f>
        <v>386151.4140625</v>
      </c>
      <c r="I13" s="386">
        <f t="shared" si="6"/>
        <v>410285.87744140625</v>
      </c>
      <c r="J13" s="754"/>
      <c r="K13" s="754"/>
      <c r="L13" s="754"/>
      <c r="M13" s="754"/>
    </row>
    <row r="14" spans="1:13" s="474" customFormat="1" x14ac:dyDescent="0.25">
      <c r="A14" s="836" t="s">
        <v>396</v>
      </c>
      <c r="B14" s="158"/>
      <c r="C14" s="158">
        <v>20400</v>
      </c>
      <c r="D14" s="158"/>
      <c r="E14" s="158">
        <f t="shared" si="4"/>
        <v>20400</v>
      </c>
      <c r="F14" s="158">
        <v>-20400</v>
      </c>
      <c r="G14" s="158">
        <f t="shared" si="5"/>
        <v>0</v>
      </c>
      <c r="H14" s="158">
        <v>21807.599999999999</v>
      </c>
      <c r="I14" s="386">
        <v>23312.324399999998</v>
      </c>
      <c r="J14" s="754"/>
      <c r="K14" s="754"/>
      <c r="L14" s="754"/>
      <c r="M14" s="754"/>
    </row>
    <row r="15" spans="1:13" s="759" customFormat="1" x14ac:dyDescent="0.25">
      <c r="A15" s="910" t="s">
        <v>872</v>
      </c>
      <c r="B15" s="158"/>
      <c r="C15" s="239">
        <v>0</v>
      </c>
      <c r="D15" s="239">
        <v>0</v>
      </c>
      <c r="E15" s="239">
        <v>0</v>
      </c>
      <c r="F15" s="239">
        <v>216</v>
      </c>
      <c r="G15" s="158">
        <f t="shared" si="5"/>
        <v>216</v>
      </c>
      <c r="H15" s="239">
        <v>0</v>
      </c>
      <c r="I15" s="239">
        <v>0</v>
      </c>
      <c r="J15" s="754"/>
      <c r="K15" s="754"/>
      <c r="L15" s="754"/>
      <c r="M15" s="754"/>
    </row>
    <row r="16" spans="1:13" s="167" customFormat="1" ht="30" x14ac:dyDescent="0.25">
      <c r="A16" s="606" t="s">
        <v>41</v>
      </c>
      <c r="B16" s="246">
        <f t="shared" ref="B16:I16" si="7">SUM(B11:B14)</f>
        <v>496962</v>
      </c>
      <c r="C16" s="351">
        <f>SUM(C11:C15)</f>
        <v>548422.125</v>
      </c>
      <c r="D16" s="351">
        <f t="shared" ref="D16:G16" si="8">SUM(D11:D15)</f>
        <v>247417</v>
      </c>
      <c r="E16" s="351">
        <f t="shared" si="8"/>
        <v>301005.125</v>
      </c>
      <c r="F16" s="351">
        <f t="shared" si="8"/>
        <v>-50184</v>
      </c>
      <c r="G16" s="351">
        <f t="shared" si="8"/>
        <v>498238.125</v>
      </c>
      <c r="H16" s="351">
        <f t="shared" si="7"/>
        <v>582831.10781249998</v>
      </c>
      <c r="I16" s="351">
        <f t="shared" si="7"/>
        <v>619399.80145078129</v>
      </c>
      <c r="J16" s="911">
        <f>SUM(C9,C16)</f>
        <v>3123162.75</v>
      </c>
      <c r="K16" s="911">
        <f>SUM(H9,H16)</f>
        <v>3318493.0218750001</v>
      </c>
      <c r="L16" s="911">
        <f>SUM(I9,I16)</f>
        <v>3526040.5851421878</v>
      </c>
      <c r="M16" s="479"/>
    </row>
    <row r="17" spans="1:13" s="167" customFormat="1" ht="12.6" customHeight="1" x14ac:dyDescent="0.25">
      <c r="A17" s="534"/>
      <c r="B17" s="246"/>
      <c r="C17" s="351"/>
      <c r="D17" s="351"/>
      <c r="E17" s="351"/>
      <c r="F17" s="351"/>
      <c r="G17" s="351"/>
      <c r="H17" s="246"/>
      <c r="I17" s="386">
        <f t="shared" ref="I17:I23" si="9">H17*6.9%+H17</f>
        <v>0</v>
      </c>
      <c r="J17" s="479"/>
      <c r="K17" s="479"/>
      <c r="L17" s="479"/>
      <c r="M17" s="479"/>
    </row>
    <row r="18" spans="1:13" hidden="1" x14ac:dyDescent="0.25">
      <c r="A18" s="836" t="s">
        <v>211</v>
      </c>
      <c r="B18" s="160">
        <v>0</v>
      </c>
      <c r="C18" s="239">
        <f>B18*5.9%+B18</f>
        <v>0</v>
      </c>
      <c r="D18" s="239"/>
      <c r="E18" s="239"/>
      <c r="F18" s="239"/>
      <c r="G18" s="239"/>
      <c r="H18" s="158">
        <f>C18*5.6%+C18</f>
        <v>0</v>
      </c>
      <c r="I18" s="386">
        <f t="shared" si="9"/>
        <v>0</v>
      </c>
    </row>
    <row r="19" spans="1:13" hidden="1" x14ac:dyDescent="0.25">
      <c r="A19" s="534"/>
      <c r="B19" s="246">
        <f>B18</f>
        <v>0</v>
      </c>
      <c r="C19" s="351">
        <f>C18</f>
        <v>0</v>
      </c>
      <c r="D19" s="351"/>
      <c r="E19" s="351"/>
      <c r="F19" s="351"/>
      <c r="G19" s="351"/>
      <c r="H19" s="246">
        <f>H18</f>
        <v>0</v>
      </c>
      <c r="I19" s="386">
        <f t="shared" si="9"/>
        <v>0</v>
      </c>
    </row>
    <row r="20" spans="1:13" s="93" customFormat="1" hidden="1" x14ac:dyDescent="0.25">
      <c r="A20" s="836"/>
      <c r="B20" s="158"/>
      <c r="C20" s="239"/>
      <c r="D20" s="239"/>
      <c r="E20" s="239"/>
      <c r="F20" s="239"/>
      <c r="G20" s="239"/>
      <c r="H20" s="158"/>
      <c r="I20" s="386">
        <f t="shared" si="9"/>
        <v>0</v>
      </c>
      <c r="J20" s="754"/>
      <c r="K20" s="754"/>
      <c r="L20" s="754"/>
      <c r="M20" s="754"/>
    </row>
    <row r="21" spans="1:13" s="93" customFormat="1" hidden="1" x14ac:dyDescent="0.25">
      <c r="A21" s="836" t="s">
        <v>20</v>
      </c>
      <c r="B21" s="158">
        <v>0</v>
      </c>
      <c r="C21" s="239">
        <f>B21*5.9%+B21</f>
        <v>0</v>
      </c>
      <c r="D21" s="239"/>
      <c r="E21" s="239"/>
      <c r="F21" s="239"/>
      <c r="G21" s="239"/>
      <c r="H21" s="158">
        <f>C21*5.6%+C21</f>
        <v>0</v>
      </c>
      <c r="I21" s="386">
        <f t="shared" si="9"/>
        <v>0</v>
      </c>
      <c r="J21" s="754"/>
      <c r="K21" s="754"/>
      <c r="L21" s="754"/>
      <c r="M21" s="754"/>
    </row>
    <row r="22" spans="1:13" s="93" customFormat="1" hidden="1" x14ac:dyDescent="0.25">
      <c r="A22" s="836" t="s">
        <v>31</v>
      </c>
      <c r="B22" s="158"/>
      <c r="C22" s="239">
        <f>B22*5.9%+B22</f>
        <v>0</v>
      </c>
      <c r="D22" s="239"/>
      <c r="E22" s="239"/>
      <c r="F22" s="239"/>
      <c r="G22" s="239"/>
      <c r="H22" s="158">
        <f>C22*5.6%+C22</f>
        <v>0</v>
      </c>
      <c r="I22" s="386">
        <f t="shared" si="9"/>
        <v>0</v>
      </c>
      <c r="J22" s="754"/>
      <c r="K22" s="754"/>
      <c r="L22" s="754"/>
      <c r="M22" s="754"/>
    </row>
    <row r="23" spans="1:13" s="167" customFormat="1" hidden="1" x14ac:dyDescent="0.25">
      <c r="A23" s="534"/>
      <c r="B23" s="246">
        <f>SUM(B21:B22)</f>
        <v>0</v>
      </c>
      <c r="C23" s="351">
        <f>SUM(C21:C22)</f>
        <v>0</v>
      </c>
      <c r="D23" s="351"/>
      <c r="E23" s="351"/>
      <c r="F23" s="351"/>
      <c r="G23" s="351"/>
      <c r="H23" s="246">
        <f>SUM(H21:H22)</f>
        <v>0</v>
      </c>
      <c r="I23" s="386">
        <f t="shared" si="9"/>
        <v>0</v>
      </c>
      <c r="J23" s="479"/>
      <c r="K23" s="479"/>
      <c r="L23" s="479"/>
      <c r="M23" s="479"/>
    </row>
    <row r="24" spans="1:13" s="167" customFormat="1" x14ac:dyDescent="0.25">
      <c r="A24" s="534"/>
      <c r="B24" s="246"/>
      <c r="C24" s="351"/>
      <c r="D24" s="351"/>
      <c r="E24" s="351"/>
      <c r="F24" s="351"/>
      <c r="G24" s="351"/>
      <c r="H24" s="246"/>
      <c r="I24" s="386"/>
      <c r="J24" s="479"/>
      <c r="K24" s="479"/>
      <c r="L24" s="479"/>
      <c r="M24" s="479"/>
    </row>
    <row r="25" spans="1:13" s="93" customFormat="1" x14ac:dyDescent="0.25">
      <c r="A25" s="832" t="s">
        <v>57</v>
      </c>
      <c r="B25" s="158">
        <v>50000</v>
      </c>
      <c r="C25" s="158">
        <f>B25*4.5%+B25</f>
        <v>52250</v>
      </c>
      <c r="D25" s="158">
        <v>24200</v>
      </c>
      <c r="E25" s="158">
        <f t="shared" ref="E25:E28" si="10">C25-D25</f>
        <v>28050</v>
      </c>
      <c r="F25" s="158">
        <v>-15000</v>
      </c>
      <c r="G25" s="158">
        <f t="shared" ref="G25:G28" si="11">C25+F25</f>
        <v>37250</v>
      </c>
      <c r="H25" s="158">
        <f>C25*6.25%+C25</f>
        <v>55515.625</v>
      </c>
      <c r="I25" s="386">
        <f>H25*6.25%+H25</f>
        <v>58985.3515625</v>
      </c>
      <c r="J25" s="754"/>
      <c r="K25" s="754"/>
      <c r="L25" s="754"/>
      <c r="M25" s="754"/>
    </row>
    <row r="26" spans="1:13" s="93" customFormat="1" x14ac:dyDescent="0.25">
      <c r="A26" s="832" t="s">
        <v>51</v>
      </c>
      <c r="B26" s="158">
        <f>100000/2</f>
        <v>50000</v>
      </c>
      <c r="C26" s="158">
        <v>150000</v>
      </c>
      <c r="D26" s="158">
        <v>3568</v>
      </c>
      <c r="E26" s="158">
        <f t="shared" si="10"/>
        <v>146432</v>
      </c>
      <c r="F26" s="158">
        <f>-50000-50000</f>
        <v>-100000</v>
      </c>
      <c r="G26" s="158">
        <f t="shared" si="11"/>
        <v>50000</v>
      </c>
      <c r="H26" s="158">
        <f>C26*6.25%+C26</f>
        <v>159375</v>
      </c>
      <c r="I26" s="386">
        <f t="shared" ref="I26" si="12">H26*6.25%+H26</f>
        <v>169335.9375</v>
      </c>
      <c r="J26" s="754"/>
      <c r="K26" s="754"/>
      <c r="L26" s="754"/>
      <c r="M26" s="754"/>
    </row>
    <row r="27" spans="1:13" s="93" customFormat="1" x14ac:dyDescent="0.25">
      <c r="A27" s="836" t="s">
        <v>9</v>
      </c>
      <c r="B27" s="158"/>
      <c r="C27" s="158">
        <v>15511</v>
      </c>
      <c r="D27" s="158">
        <v>8494</v>
      </c>
      <c r="E27" s="158">
        <f t="shared" si="10"/>
        <v>7017</v>
      </c>
      <c r="F27" s="158">
        <v>0</v>
      </c>
      <c r="G27" s="158">
        <f t="shared" si="11"/>
        <v>15511</v>
      </c>
      <c r="H27" s="158">
        <f>C27*6.25%+C27</f>
        <v>16480.4375</v>
      </c>
      <c r="I27" s="386">
        <f>H27*6.25%+H27</f>
        <v>17510.46484375</v>
      </c>
      <c r="J27" s="754"/>
      <c r="K27" s="754"/>
      <c r="L27" s="754"/>
      <c r="M27" s="754"/>
    </row>
    <row r="28" spans="1:13" s="272" customFormat="1" x14ac:dyDescent="0.25">
      <c r="A28" s="832" t="s">
        <v>645</v>
      </c>
      <c r="B28" s="158">
        <v>1500000</v>
      </c>
      <c r="C28" s="158">
        <v>3000000</v>
      </c>
      <c r="D28" s="158">
        <v>2734738</v>
      </c>
      <c r="E28" s="158">
        <f t="shared" si="10"/>
        <v>265262</v>
      </c>
      <c r="F28" s="158">
        <v>300000</v>
      </c>
      <c r="G28" s="158">
        <f t="shared" si="11"/>
        <v>3300000</v>
      </c>
      <c r="H28" s="158">
        <v>0</v>
      </c>
      <c r="I28" s="386">
        <v>0</v>
      </c>
      <c r="J28" s="754"/>
      <c r="K28" s="754"/>
      <c r="L28" s="754"/>
      <c r="M28" s="754"/>
    </row>
    <row r="29" spans="1:13" s="167" customFormat="1" x14ac:dyDescent="0.25">
      <c r="A29" s="606" t="s">
        <v>42</v>
      </c>
      <c r="B29" s="246">
        <f t="shared" ref="B29:I29" si="13">SUM(B25:B28)</f>
        <v>1600000</v>
      </c>
      <c r="C29" s="351">
        <f t="shared" si="13"/>
        <v>3217761</v>
      </c>
      <c r="D29" s="351">
        <f t="shared" si="13"/>
        <v>2771000</v>
      </c>
      <c r="E29" s="351">
        <f t="shared" si="13"/>
        <v>446761</v>
      </c>
      <c r="F29" s="351">
        <f t="shared" si="13"/>
        <v>185000</v>
      </c>
      <c r="G29" s="351">
        <f t="shared" si="13"/>
        <v>3402761</v>
      </c>
      <c r="H29" s="351">
        <f t="shared" si="13"/>
        <v>231371.0625</v>
      </c>
      <c r="I29" s="387">
        <f t="shared" si="13"/>
        <v>245831.75390625</v>
      </c>
      <c r="J29" s="479"/>
      <c r="K29" s="479"/>
      <c r="L29" s="479"/>
      <c r="M29" s="479"/>
    </row>
    <row r="30" spans="1:13" s="93" customFormat="1" x14ac:dyDescent="0.25">
      <c r="A30" s="609"/>
      <c r="B30" s="158"/>
      <c r="C30" s="239"/>
      <c r="D30" s="239"/>
      <c r="E30" s="239"/>
      <c r="F30" s="239"/>
      <c r="G30" s="239"/>
      <c r="H30" s="158"/>
      <c r="I30" s="386">
        <f>H30*6.9%+H30</f>
        <v>0</v>
      </c>
      <c r="J30" s="754"/>
      <c r="K30" s="754"/>
      <c r="L30" s="754"/>
      <c r="M30" s="754"/>
    </row>
    <row r="31" spans="1:13" s="93" customFormat="1" ht="15.75" thickBot="1" x14ac:dyDescent="0.3">
      <c r="A31" s="610" t="s">
        <v>46</v>
      </c>
      <c r="B31" s="392">
        <f t="shared" ref="B31:I31" si="14">B9+B16+B19+B23+B29</f>
        <v>4413180</v>
      </c>
      <c r="C31" s="422">
        <f t="shared" si="14"/>
        <v>6340923.75</v>
      </c>
      <c r="D31" s="422">
        <f t="shared" si="14"/>
        <v>4349635</v>
      </c>
      <c r="E31" s="422">
        <f t="shared" si="14"/>
        <v>1991288.75</v>
      </c>
      <c r="F31" s="422">
        <f t="shared" si="14"/>
        <v>134816</v>
      </c>
      <c r="G31" s="422">
        <f t="shared" si="14"/>
        <v>6475739.75</v>
      </c>
      <c r="H31" s="422">
        <f t="shared" si="14"/>
        <v>3549864.0843750001</v>
      </c>
      <c r="I31" s="393">
        <f t="shared" si="14"/>
        <v>3771872.3390484378</v>
      </c>
      <c r="J31" s="754"/>
      <c r="K31" s="754"/>
      <c r="L31" s="754"/>
      <c r="M31" s="754"/>
    </row>
  </sheetData>
  <pageMargins left="0.74803149606299213" right="0.74803149606299213" top="0.98425196850393704" bottom="0.98425196850393704" header="0.51181102362204722" footer="0.51181102362204722"/>
  <pageSetup scale="84" orientation="landscape" r:id="rId1"/>
  <headerFooter alignWithMargins="0">
    <oddFooter>&amp;A&amp;RPage &amp;P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view="pageBreakPreview" topLeftCell="A22" zoomScale="106" zoomScaleNormal="86" zoomScaleSheetLayoutView="106" workbookViewId="0">
      <selection activeCell="G27" sqref="G27"/>
    </sheetView>
  </sheetViews>
  <sheetFormatPr defaultColWidth="9.28515625" defaultRowHeight="15" x14ac:dyDescent="0.25"/>
  <cols>
    <col min="1" max="1" width="32.42578125" style="608" customWidth="1"/>
    <col min="2" max="2" width="15.28515625" style="247" hidden="1" customWidth="1"/>
    <col min="3" max="8" width="16.7109375" style="247" customWidth="1"/>
    <col min="9" max="9" width="16.85546875" style="352" customWidth="1"/>
    <col min="10" max="16384" width="9.28515625" style="97"/>
  </cols>
  <sheetData>
    <row r="1" spans="1:9" ht="18.75" x14ac:dyDescent="0.3">
      <c r="A1" s="607" t="s">
        <v>543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s="93" customFormat="1" ht="38.25" customHeight="1" thickBot="1" x14ac:dyDescent="0.3">
      <c r="A3" s="533" t="s">
        <v>39</v>
      </c>
      <c r="B3" s="384" t="s">
        <v>393</v>
      </c>
      <c r="C3" s="708" t="s">
        <v>789</v>
      </c>
      <c r="D3" s="604" t="s">
        <v>800</v>
      </c>
      <c r="E3" s="714" t="s">
        <v>87</v>
      </c>
      <c r="F3" s="709" t="s">
        <v>164</v>
      </c>
      <c r="G3" s="605" t="s">
        <v>799</v>
      </c>
      <c r="H3" s="384" t="s">
        <v>556</v>
      </c>
      <c r="I3" s="408" t="s">
        <v>644</v>
      </c>
    </row>
    <row r="4" spans="1:9" s="469" customFormat="1" x14ac:dyDescent="0.25">
      <c r="A4" s="353" t="s">
        <v>2</v>
      </c>
      <c r="B4" s="158">
        <v>3173389</v>
      </c>
      <c r="C4" s="239">
        <f>B4*6.25%+B4</f>
        <v>3371725.8125</v>
      </c>
      <c r="D4" s="370">
        <v>2902534</v>
      </c>
      <c r="E4" s="370">
        <f>C4-D4</f>
        <v>469191.8125</v>
      </c>
      <c r="F4" s="91">
        <v>1000000</v>
      </c>
      <c r="G4" s="239">
        <f>C4+F4</f>
        <v>4371725.8125</v>
      </c>
      <c r="H4" s="239">
        <f>C4*6.25%+C4</f>
        <v>3582458.67578125</v>
      </c>
      <c r="I4" s="386">
        <f>H4*6.25%+H4</f>
        <v>3806362.3430175781</v>
      </c>
    </row>
    <row r="5" spans="1:9" s="469" customFormat="1" x14ac:dyDescent="0.25">
      <c r="A5" s="353" t="s">
        <v>3</v>
      </c>
      <c r="B5" s="158">
        <v>264449</v>
      </c>
      <c r="C5" s="239">
        <f t="shared" ref="C5:I8" si="0">B5*6.25%+B5</f>
        <v>280977.0625</v>
      </c>
      <c r="D5" s="239">
        <v>231347</v>
      </c>
      <c r="E5" s="370">
        <f t="shared" ref="E5:E8" si="1">C5-D5</f>
        <v>49630.0625</v>
      </c>
      <c r="F5" s="91">
        <v>0</v>
      </c>
      <c r="G5" s="239">
        <f t="shared" ref="G5:G8" si="2">C5+F5</f>
        <v>280977.0625</v>
      </c>
      <c r="H5" s="239">
        <f>C5*6.25%+C5</f>
        <v>298538.12890625</v>
      </c>
      <c r="I5" s="386">
        <f t="shared" si="0"/>
        <v>317196.76196289063</v>
      </c>
    </row>
    <row r="6" spans="1:9" s="469" customFormat="1" x14ac:dyDescent="0.25">
      <c r="A6" s="353" t="s">
        <v>4</v>
      </c>
      <c r="B6" s="158">
        <v>67200</v>
      </c>
      <c r="C6" s="239">
        <f t="shared" si="0"/>
        <v>71400</v>
      </c>
      <c r="D6" s="239">
        <v>12675</v>
      </c>
      <c r="E6" s="370">
        <f t="shared" si="1"/>
        <v>58725</v>
      </c>
      <c r="F6" s="91">
        <v>-30000</v>
      </c>
      <c r="G6" s="239">
        <f t="shared" si="2"/>
        <v>41400</v>
      </c>
      <c r="H6" s="239">
        <f>C6*6.25%+C6</f>
        <v>75862.5</v>
      </c>
      <c r="I6" s="386">
        <f t="shared" si="0"/>
        <v>80603.90625</v>
      </c>
    </row>
    <row r="7" spans="1:9" s="469" customFormat="1" x14ac:dyDescent="0.25">
      <c r="A7" s="353" t="s">
        <v>173</v>
      </c>
      <c r="B7" s="158"/>
      <c r="C7" s="239">
        <v>221481</v>
      </c>
      <c r="D7" s="239">
        <v>169497</v>
      </c>
      <c r="E7" s="370">
        <f t="shared" si="1"/>
        <v>51984</v>
      </c>
      <c r="F7" s="91">
        <v>0</v>
      </c>
      <c r="G7" s="239">
        <f t="shared" si="2"/>
        <v>221481</v>
      </c>
      <c r="H7" s="239">
        <f>C7*6.25%+C7</f>
        <v>235323.5625</v>
      </c>
      <c r="I7" s="386">
        <f>H7*6.25%+H7</f>
        <v>250031.28515625</v>
      </c>
    </row>
    <row r="8" spans="1:9" s="469" customFormat="1" x14ac:dyDescent="0.25">
      <c r="A8" s="353" t="s">
        <v>5</v>
      </c>
      <c r="B8" s="158">
        <v>930935</v>
      </c>
      <c r="C8" s="239">
        <f t="shared" si="0"/>
        <v>989118.4375</v>
      </c>
      <c r="D8" s="239">
        <v>424580</v>
      </c>
      <c r="E8" s="370">
        <f t="shared" si="1"/>
        <v>564538.4375</v>
      </c>
      <c r="F8" s="91">
        <v>-50000</v>
      </c>
      <c r="G8" s="239">
        <f t="shared" si="2"/>
        <v>939118.4375</v>
      </c>
      <c r="H8" s="239">
        <f>C8*6.25%+C8</f>
        <v>1050938.33984375</v>
      </c>
      <c r="I8" s="386">
        <f t="shared" si="0"/>
        <v>1116621.9860839844</v>
      </c>
    </row>
    <row r="9" spans="1:9" s="472" customFormat="1" ht="30" x14ac:dyDescent="0.25">
      <c r="A9" s="606" t="s">
        <v>40</v>
      </c>
      <c r="B9" s="246">
        <f>SUM(B4:B8)</f>
        <v>4435973</v>
      </c>
      <c r="C9" s="351">
        <f>SUM(C4:C8)</f>
        <v>4934702.3125</v>
      </c>
      <c r="D9" s="351">
        <f>SUM(D4:D8)</f>
        <v>3740633</v>
      </c>
      <c r="E9" s="351">
        <f>SUM(E4:E8)</f>
        <v>1194069.3125</v>
      </c>
      <c r="F9" s="351">
        <f t="shared" ref="F9:G9" si="3">SUM(F4:F8)</f>
        <v>920000</v>
      </c>
      <c r="G9" s="351">
        <f t="shared" si="3"/>
        <v>5854702.3125</v>
      </c>
      <c r="H9" s="351">
        <f>SUM(H4:H8)</f>
        <v>5243121.20703125</v>
      </c>
      <c r="I9" s="387">
        <f>SUM(I4:I8)</f>
        <v>5570816.2824707031</v>
      </c>
    </row>
    <row r="10" spans="1:9" s="469" customFormat="1" x14ac:dyDescent="0.25">
      <c r="A10" s="353"/>
      <c r="B10" s="158"/>
      <c r="C10" s="239"/>
      <c r="D10" s="239"/>
      <c r="E10" s="239"/>
      <c r="F10" s="239"/>
      <c r="G10" s="239"/>
      <c r="H10" s="158"/>
      <c r="I10" s="386">
        <f>H10*6.9%+H10</f>
        <v>0</v>
      </c>
    </row>
    <row r="11" spans="1:9" s="469" customFormat="1" x14ac:dyDescent="0.25">
      <c r="A11" s="353" t="s">
        <v>6</v>
      </c>
      <c r="B11" s="158">
        <v>325164</v>
      </c>
      <c r="C11" s="239">
        <f>B11*6.25%+B11</f>
        <v>345486.75</v>
      </c>
      <c r="D11" s="239">
        <v>116978</v>
      </c>
      <c r="E11" s="370">
        <f t="shared" ref="E11:E14" si="4">C11-D11</f>
        <v>228508.75</v>
      </c>
      <c r="F11" s="91">
        <v>-100000</v>
      </c>
      <c r="G11" s="239">
        <f t="shared" ref="G11:G15" si="5">C11+F11</f>
        <v>245486.75</v>
      </c>
      <c r="H11" s="158">
        <f>C11*6.25%+C11</f>
        <v>367079.671875</v>
      </c>
      <c r="I11" s="386">
        <f>H11*6.25%+H11</f>
        <v>390022.1513671875</v>
      </c>
    </row>
    <row r="12" spans="1:9" s="469" customFormat="1" x14ac:dyDescent="0.25">
      <c r="A12" s="353" t="s">
        <v>7</v>
      </c>
      <c r="B12" s="158">
        <v>31734</v>
      </c>
      <c r="C12" s="239">
        <f t="shared" ref="C12:I13" si="6">B12*6.25%+B12</f>
        <v>33717.375</v>
      </c>
      <c r="D12" s="239">
        <v>6098</v>
      </c>
      <c r="E12" s="370">
        <f t="shared" si="4"/>
        <v>27619.375</v>
      </c>
      <c r="F12" s="91">
        <v>-20000</v>
      </c>
      <c r="G12" s="239">
        <f t="shared" si="5"/>
        <v>13717.375</v>
      </c>
      <c r="H12" s="158">
        <f>C12*6.25%+C12</f>
        <v>35824.7109375</v>
      </c>
      <c r="I12" s="386">
        <f t="shared" si="6"/>
        <v>38063.75537109375</v>
      </c>
    </row>
    <row r="13" spans="1:9" s="469" customFormat="1" x14ac:dyDescent="0.25">
      <c r="A13" s="353" t="s">
        <v>53</v>
      </c>
      <c r="B13" s="158">
        <v>698146</v>
      </c>
      <c r="C13" s="239">
        <f t="shared" si="6"/>
        <v>741780.125</v>
      </c>
      <c r="D13" s="239">
        <v>345302</v>
      </c>
      <c r="E13" s="370">
        <f t="shared" si="4"/>
        <v>396478.125</v>
      </c>
      <c r="F13" s="91">
        <v>0</v>
      </c>
      <c r="G13" s="239">
        <f t="shared" si="5"/>
        <v>741780.125</v>
      </c>
      <c r="H13" s="158">
        <f>C13*6.25%+C13</f>
        <v>788141.3828125</v>
      </c>
      <c r="I13" s="386">
        <f t="shared" si="6"/>
        <v>837400.21923828125</v>
      </c>
    </row>
    <row r="14" spans="1:9" s="469" customFormat="1" x14ac:dyDescent="0.25">
      <c r="A14" s="353" t="s">
        <v>396</v>
      </c>
      <c r="B14" s="158"/>
      <c r="C14" s="239">
        <v>16200</v>
      </c>
      <c r="D14" s="239"/>
      <c r="E14" s="370">
        <f t="shared" si="4"/>
        <v>16200</v>
      </c>
      <c r="F14" s="91">
        <v>-16200</v>
      </c>
      <c r="G14" s="239">
        <f t="shared" si="5"/>
        <v>0</v>
      </c>
      <c r="H14" s="158">
        <v>17317.8</v>
      </c>
      <c r="I14" s="386">
        <v>18512.728199999998</v>
      </c>
    </row>
    <row r="15" spans="1:9" s="469" customFormat="1" x14ac:dyDescent="0.25">
      <c r="A15" s="785" t="s">
        <v>872</v>
      </c>
      <c r="B15" s="158">
        <v>29797</v>
      </c>
      <c r="C15" s="576"/>
      <c r="D15" s="576"/>
      <c r="E15" s="576"/>
      <c r="F15" s="576">
        <v>540</v>
      </c>
      <c r="G15" s="239">
        <f t="shared" si="5"/>
        <v>540</v>
      </c>
      <c r="H15" s="576">
        <v>0</v>
      </c>
      <c r="I15" s="576">
        <v>0</v>
      </c>
    </row>
    <row r="16" spans="1:9" s="472" customFormat="1" ht="30" x14ac:dyDescent="0.25">
      <c r="A16" s="606" t="s">
        <v>41</v>
      </c>
      <c r="B16" s="246">
        <f>SUM(B11:B15)</f>
        <v>1084841</v>
      </c>
      <c r="C16" s="351">
        <f>SUM(C11:C15)</f>
        <v>1137184.25</v>
      </c>
      <c r="D16" s="351">
        <f>SUM(D11:D15)</f>
        <v>468378</v>
      </c>
      <c r="E16" s="351">
        <f>SUM(E11:E15)</f>
        <v>668806.25</v>
      </c>
      <c r="F16" s="351">
        <f t="shared" ref="F16:G16" si="7">SUM(F11:F15)</f>
        <v>-135660</v>
      </c>
      <c r="G16" s="351">
        <f t="shared" si="7"/>
        <v>1001524.25</v>
      </c>
      <c r="H16" s="351">
        <f>SUM(H11:H15)</f>
        <v>1208363.565625</v>
      </c>
      <c r="I16" s="351">
        <f>SUM(I11:I15)</f>
        <v>1283998.8541765625</v>
      </c>
    </row>
    <row r="17" spans="1:9" s="472" customFormat="1" x14ac:dyDescent="0.25">
      <c r="A17" s="534"/>
      <c r="B17" s="246"/>
      <c r="C17" s="351"/>
      <c r="D17" s="351"/>
      <c r="E17" s="351"/>
      <c r="F17" s="351"/>
      <c r="G17" s="351"/>
      <c r="H17" s="351"/>
      <c r="I17" s="351"/>
    </row>
    <row r="18" spans="1:9" hidden="1" x14ac:dyDescent="0.25">
      <c r="A18" s="353" t="s">
        <v>211</v>
      </c>
      <c r="B18" s="160"/>
      <c r="C18" s="239">
        <f>B18*5.9%+B18</f>
        <v>0</v>
      </c>
      <c r="D18" s="239"/>
      <c r="E18" s="239"/>
      <c r="F18" s="239"/>
      <c r="G18" s="239"/>
      <c r="H18" s="158">
        <f>C18*5.6%+C18</f>
        <v>0</v>
      </c>
      <c r="I18" s="386">
        <f>H18*6.9%+H18</f>
        <v>0</v>
      </c>
    </row>
    <row r="19" spans="1:9" hidden="1" x14ac:dyDescent="0.25">
      <c r="A19" s="534"/>
      <c r="B19" s="246">
        <f>B18</f>
        <v>0</v>
      </c>
      <c r="C19" s="351">
        <f>C18</f>
        <v>0</v>
      </c>
      <c r="D19" s="351"/>
      <c r="E19" s="351"/>
      <c r="F19" s="351"/>
      <c r="G19" s="351"/>
      <c r="H19" s="246">
        <f>H18</f>
        <v>0</v>
      </c>
      <c r="I19" s="386">
        <f>H19*6.9%+H19</f>
        <v>0</v>
      </c>
    </row>
    <row r="20" spans="1:9" s="93" customFormat="1" ht="16.350000000000001" customHeight="1" x14ac:dyDescent="0.25">
      <c r="A20" s="353"/>
      <c r="B20" s="158"/>
      <c r="C20" s="239"/>
      <c r="D20" s="239"/>
      <c r="E20" s="239"/>
      <c r="F20" s="239"/>
      <c r="G20" s="239"/>
      <c r="H20" s="158"/>
      <c r="I20" s="386">
        <f>H20*6.9%+H20</f>
        <v>0</v>
      </c>
    </row>
    <row r="21" spans="1:9" s="93" customFormat="1" x14ac:dyDescent="0.25">
      <c r="A21" s="353" t="s">
        <v>22</v>
      </c>
      <c r="B21" s="158">
        <v>160000</v>
      </c>
      <c r="C21" s="239">
        <f t="shared" ref="C21:C26" si="8">B21*4.5%+B21</f>
        <v>167200</v>
      </c>
      <c r="D21" s="239">
        <v>16777</v>
      </c>
      <c r="E21" s="370">
        <f t="shared" ref="E21:E29" si="9">C21-D21</f>
        <v>150423</v>
      </c>
      <c r="F21" s="91">
        <v>0</v>
      </c>
      <c r="G21" s="239">
        <f t="shared" ref="G21:G29" si="10">C21+F21</f>
        <v>167200</v>
      </c>
      <c r="H21" s="239">
        <f t="shared" ref="H21:H29" si="11">C21*6.25%+C21</f>
        <v>177650</v>
      </c>
      <c r="I21" s="386">
        <f>H21*6.25%+H21</f>
        <v>188753.125</v>
      </c>
    </row>
    <row r="22" spans="1:9" s="93" customFormat="1" x14ac:dyDescent="0.25">
      <c r="A22" s="353" t="s">
        <v>23</v>
      </c>
      <c r="B22" s="158">
        <v>270000</v>
      </c>
      <c r="C22" s="239">
        <f t="shared" si="8"/>
        <v>282150</v>
      </c>
      <c r="D22" s="239">
        <v>74964</v>
      </c>
      <c r="E22" s="370">
        <f t="shared" si="9"/>
        <v>207186</v>
      </c>
      <c r="F22" s="91">
        <v>0</v>
      </c>
      <c r="G22" s="239">
        <f t="shared" si="10"/>
        <v>282150</v>
      </c>
      <c r="H22" s="239">
        <f t="shared" si="11"/>
        <v>299784.375</v>
      </c>
      <c r="I22" s="386">
        <f t="shared" ref="I22:I29" si="12">H22*6.25%+H22</f>
        <v>318520.8984375</v>
      </c>
    </row>
    <row r="23" spans="1:9" s="93" customFormat="1" x14ac:dyDescent="0.25">
      <c r="A23" s="353" t="s">
        <v>24</v>
      </c>
      <c r="B23" s="158">
        <v>150000</v>
      </c>
      <c r="C23" s="239">
        <f t="shared" si="8"/>
        <v>156750</v>
      </c>
      <c r="D23" s="239"/>
      <c r="E23" s="370">
        <f t="shared" si="9"/>
        <v>156750</v>
      </c>
      <c r="F23" s="91">
        <v>-50000</v>
      </c>
      <c r="G23" s="239">
        <f t="shared" si="10"/>
        <v>106750</v>
      </c>
      <c r="H23" s="239">
        <f t="shared" si="11"/>
        <v>166546.875</v>
      </c>
      <c r="I23" s="386">
        <f t="shared" si="12"/>
        <v>176956.0546875</v>
      </c>
    </row>
    <row r="24" spans="1:9" s="93" customFormat="1" x14ac:dyDescent="0.25">
      <c r="A24" s="353" t="s">
        <v>25</v>
      </c>
      <c r="B24" s="158">
        <f>2822128-1500000</f>
        <v>1322128</v>
      </c>
      <c r="C24" s="239">
        <f t="shared" si="8"/>
        <v>1381623.76</v>
      </c>
      <c r="D24" s="239">
        <v>1443390</v>
      </c>
      <c r="E24" s="370">
        <f t="shared" si="9"/>
        <v>-61766.239999999991</v>
      </c>
      <c r="F24" s="158">
        <v>100000</v>
      </c>
      <c r="G24" s="239">
        <f t="shared" si="10"/>
        <v>1481623.76</v>
      </c>
      <c r="H24" s="239">
        <f t="shared" si="11"/>
        <v>1467975.2450000001</v>
      </c>
      <c r="I24" s="386">
        <f t="shared" si="12"/>
        <v>1559723.6978125002</v>
      </c>
    </row>
    <row r="25" spans="1:9" s="93" customFormat="1" x14ac:dyDescent="0.25">
      <c r="A25" s="353" t="s">
        <v>63</v>
      </c>
      <c r="B25" s="158">
        <v>33250</v>
      </c>
      <c r="C25" s="239">
        <f t="shared" si="8"/>
        <v>34746.25</v>
      </c>
      <c r="D25" s="239"/>
      <c r="E25" s="370">
        <f t="shared" si="9"/>
        <v>34746.25</v>
      </c>
      <c r="F25" s="91">
        <v>0</v>
      </c>
      <c r="G25" s="239">
        <f t="shared" si="10"/>
        <v>34746.25</v>
      </c>
      <c r="H25" s="239">
        <f t="shared" si="11"/>
        <v>36917.890625</v>
      </c>
      <c r="I25" s="386">
        <f t="shared" si="12"/>
        <v>39225.2587890625</v>
      </c>
    </row>
    <row r="26" spans="1:9" s="93" customFormat="1" x14ac:dyDescent="0.25">
      <c r="A26" s="251" t="s">
        <v>57</v>
      </c>
      <c r="B26" s="158">
        <v>500000</v>
      </c>
      <c r="C26" s="239">
        <f t="shared" si="8"/>
        <v>522500</v>
      </c>
      <c r="D26" s="239">
        <v>448697</v>
      </c>
      <c r="E26" s="370">
        <f t="shared" si="9"/>
        <v>73803</v>
      </c>
      <c r="F26" s="91">
        <v>0</v>
      </c>
      <c r="G26" s="239">
        <f t="shared" si="10"/>
        <v>522500</v>
      </c>
      <c r="H26" s="239">
        <f t="shared" si="11"/>
        <v>555156.25</v>
      </c>
      <c r="I26" s="386">
        <f t="shared" si="12"/>
        <v>589853.515625</v>
      </c>
    </row>
    <row r="27" spans="1:9" s="93" customFormat="1" x14ac:dyDescent="0.25">
      <c r="A27" s="251" t="s">
        <v>51</v>
      </c>
      <c r="B27" s="158">
        <v>50000</v>
      </c>
      <c r="C27" s="239">
        <v>150000</v>
      </c>
      <c r="D27" s="239">
        <v>28937</v>
      </c>
      <c r="E27" s="370">
        <f t="shared" si="9"/>
        <v>121063</v>
      </c>
      <c r="F27" s="91">
        <v>-50000</v>
      </c>
      <c r="G27" s="239">
        <f t="shared" si="10"/>
        <v>100000</v>
      </c>
      <c r="H27" s="239">
        <f t="shared" si="11"/>
        <v>159375</v>
      </c>
      <c r="I27" s="386">
        <f t="shared" si="12"/>
        <v>169335.9375</v>
      </c>
    </row>
    <row r="28" spans="1:9" s="93" customFormat="1" x14ac:dyDescent="0.25">
      <c r="A28" s="353" t="s">
        <v>9</v>
      </c>
      <c r="B28" s="158"/>
      <c r="C28" s="239">
        <f>B15*6.25%+B15</f>
        <v>31659.3125</v>
      </c>
      <c r="D28" s="239">
        <v>29653</v>
      </c>
      <c r="E28" s="370">
        <f t="shared" si="9"/>
        <v>2006.3125</v>
      </c>
      <c r="F28" s="91">
        <v>0</v>
      </c>
      <c r="G28" s="239">
        <f t="shared" si="10"/>
        <v>31659.3125</v>
      </c>
      <c r="H28" s="158">
        <f t="shared" si="11"/>
        <v>33638.01953125</v>
      </c>
      <c r="I28" s="386">
        <f>H28*6.25%+H28</f>
        <v>35740.395751953125</v>
      </c>
    </row>
    <row r="29" spans="1:9" s="93" customFormat="1" x14ac:dyDescent="0.25">
      <c r="A29" s="251" t="s">
        <v>27</v>
      </c>
      <c r="B29" s="158">
        <f>4532016-500000</f>
        <v>4032016</v>
      </c>
      <c r="C29" s="239">
        <v>3850000</v>
      </c>
      <c r="D29" s="239"/>
      <c r="E29" s="370">
        <f t="shared" si="9"/>
        <v>3850000</v>
      </c>
      <c r="F29" s="91">
        <v>0</v>
      </c>
      <c r="G29" s="239">
        <f t="shared" si="10"/>
        <v>3850000</v>
      </c>
      <c r="H29" s="239">
        <f t="shared" si="11"/>
        <v>4090625</v>
      </c>
      <c r="I29" s="386">
        <f t="shared" si="12"/>
        <v>4346289.0625</v>
      </c>
    </row>
    <row r="30" spans="1:9" s="167" customFormat="1" x14ac:dyDescent="0.25">
      <c r="A30" s="606" t="s">
        <v>42</v>
      </c>
      <c r="B30" s="246">
        <f>SUM(B21:B29)</f>
        <v>6517394</v>
      </c>
      <c r="C30" s="351">
        <f>SUM(C21:C29)</f>
        <v>6576629.3224999998</v>
      </c>
      <c r="D30" s="351">
        <f>SUM(D21:D29)</f>
        <v>2042418</v>
      </c>
      <c r="E30" s="351">
        <f>SUM(E21:E29)</f>
        <v>4534211.3224999998</v>
      </c>
      <c r="F30" s="351">
        <f t="shared" ref="F30:G30" si="13">SUM(F21:F29)</f>
        <v>0</v>
      </c>
      <c r="G30" s="351">
        <f t="shared" si="13"/>
        <v>6576629.3224999998</v>
      </c>
      <c r="H30" s="351">
        <f>SUM(H21:H29)</f>
        <v>6987668.6551562501</v>
      </c>
      <c r="I30" s="387">
        <f>SUM(I21:I29)</f>
        <v>7424397.946103516</v>
      </c>
    </row>
    <row r="31" spans="1:9" s="93" customFormat="1" x14ac:dyDescent="0.25">
      <c r="A31" s="609"/>
      <c r="B31" s="158"/>
      <c r="C31" s="239"/>
      <c r="D31" s="239"/>
      <c r="E31" s="239"/>
      <c r="F31" s="239"/>
      <c r="G31" s="239"/>
      <c r="H31" s="158"/>
      <c r="I31" s="386">
        <f>H31*6.9%+H31</f>
        <v>0</v>
      </c>
    </row>
    <row r="32" spans="1:9" s="93" customFormat="1" ht="15.75" thickBot="1" x14ac:dyDescent="0.3">
      <c r="A32" s="610" t="s">
        <v>46</v>
      </c>
      <c r="B32" s="392">
        <f>B9+B16+B19+B30</f>
        <v>12038208</v>
      </c>
      <c r="C32" s="422">
        <f>C9+C16+C19+C30</f>
        <v>12648515.885</v>
      </c>
      <c r="D32" s="422">
        <f>D9+D16+D19+D30</f>
        <v>6251429</v>
      </c>
      <c r="E32" s="422">
        <f>E9+E16+E19+E30</f>
        <v>6397086.8849999998</v>
      </c>
      <c r="F32" s="422">
        <f t="shared" ref="F32:G32" si="14">F9+F16+F19+F30</f>
        <v>784340</v>
      </c>
      <c r="G32" s="422">
        <f t="shared" si="14"/>
        <v>13432855.885</v>
      </c>
      <c r="H32" s="422">
        <f>H9+H16+H19+H30</f>
        <v>13439153.4278125</v>
      </c>
      <c r="I32" s="393">
        <f>I9+I16+I19+I30</f>
        <v>14279213.082750782</v>
      </c>
    </row>
  </sheetData>
  <pageMargins left="0.74803149606299213" right="0.74803149606299213" top="0.98425196850393704" bottom="0.98425196850393704" header="0.51181102362204722" footer="0.51181102362204722"/>
  <pageSetup scale="77" orientation="landscape" r:id="rId1"/>
  <headerFooter alignWithMargins="0">
    <oddFooter>&amp;A&amp;RPage 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view="pageBreakPreview" topLeftCell="D20" zoomScale="90" zoomScaleNormal="216" zoomScaleSheetLayoutView="90" workbookViewId="0">
      <selection activeCell="D24" sqref="D24"/>
    </sheetView>
  </sheetViews>
  <sheetFormatPr defaultColWidth="9.28515625" defaultRowHeight="15" x14ac:dyDescent="0.25"/>
  <cols>
    <col min="1" max="1" width="33.28515625" style="352" customWidth="1"/>
    <col min="2" max="2" width="15.28515625" style="247" hidden="1" customWidth="1"/>
    <col min="3" max="8" width="16.7109375" style="247" customWidth="1"/>
    <col min="9" max="9" width="17.28515625" style="352" customWidth="1"/>
    <col min="10" max="10" width="9.28515625" style="19"/>
    <col min="11" max="11" width="14.7109375" style="19" customWidth="1"/>
    <col min="12" max="16384" width="9.28515625" style="19"/>
  </cols>
  <sheetData>
    <row r="1" spans="1:9" ht="18.75" x14ac:dyDescent="0.3">
      <c r="A1" s="519" t="s">
        <v>544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s="18" customFormat="1" ht="43.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4" t="s">
        <v>87</v>
      </c>
      <c r="F3" s="605" t="s">
        <v>164</v>
      </c>
      <c r="G3" s="605" t="s">
        <v>789</v>
      </c>
      <c r="H3" s="384" t="s">
        <v>556</v>
      </c>
      <c r="I3" s="408" t="s">
        <v>644</v>
      </c>
    </row>
    <row r="4" spans="1:9" s="469" customFormat="1" x14ac:dyDescent="0.25">
      <c r="A4" s="253" t="s">
        <v>2</v>
      </c>
      <c r="B4" s="158">
        <v>3410464</v>
      </c>
      <c r="C4" s="158">
        <f>B4*6.25%+B4</f>
        <v>3623618</v>
      </c>
      <c r="D4" s="158">
        <v>2035256</v>
      </c>
      <c r="E4" s="158">
        <f>C4-D4</f>
        <v>1588362</v>
      </c>
      <c r="F4" s="91">
        <v>450000</v>
      </c>
      <c r="G4" s="158">
        <f>C4+F4</f>
        <v>4073618</v>
      </c>
      <c r="H4" s="158">
        <f>C4*6.25%+C4</f>
        <v>3850094.125</v>
      </c>
      <c r="I4" s="386">
        <f>H4*6.25%+H4</f>
        <v>4090725.0078125</v>
      </c>
    </row>
    <row r="5" spans="1:9" s="469" customFormat="1" x14ac:dyDescent="0.25">
      <c r="A5" s="253" t="s">
        <v>3</v>
      </c>
      <c r="B5" s="158">
        <v>284205</v>
      </c>
      <c r="C5" s="158">
        <f t="shared" ref="C5:I8" si="0">B5*6.25%+B5</f>
        <v>301967.8125</v>
      </c>
      <c r="D5" s="158">
        <v>0</v>
      </c>
      <c r="E5" s="158">
        <f t="shared" ref="E5:E8" si="1">C5-D5</f>
        <v>301967.8125</v>
      </c>
      <c r="F5" s="91">
        <v>0</v>
      </c>
      <c r="G5" s="158">
        <f t="shared" ref="G5:G8" si="2">C5+F5</f>
        <v>301967.8125</v>
      </c>
      <c r="H5" s="158">
        <f>C5*6.25%+C5</f>
        <v>320840.80078125</v>
      </c>
      <c r="I5" s="386">
        <f t="shared" si="0"/>
        <v>340893.35083007813</v>
      </c>
    </row>
    <row r="6" spans="1:9" s="469" customFormat="1" x14ac:dyDescent="0.25">
      <c r="A6" s="253" t="s">
        <v>4</v>
      </c>
      <c r="B6" s="158">
        <v>19200</v>
      </c>
      <c r="C6" s="158">
        <f t="shared" si="0"/>
        <v>20400</v>
      </c>
      <c r="D6" s="158">
        <v>11574</v>
      </c>
      <c r="E6" s="158">
        <f t="shared" si="1"/>
        <v>8826</v>
      </c>
      <c r="F6" s="91">
        <v>0</v>
      </c>
      <c r="G6" s="158">
        <f t="shared" si="2"/>
        <v>20400</v>
      </c>
      <c r="H6" s="158">
        <f>C6*6.25%+C6</f>
        <v>21675</v>
      </c>
      <c r="I6" s="386">
        <f t="shared" si="0"/>
        <v>23029.6875</v>
      </c>
    </row>
    <row r="7" spans="1:9" s="469" customFormat="1" x14ac:dyDescent="0.25">
      <c r="A7" s="253" t="s">
        <v>173</v>
      </c>
      <c r="B7" s="158"/>
      <c r="C7" s="158">
        <v>220846</v>
      </c>
      <c r="D7" s="158">
        <v>41404</v>
      </c>
      <c r="E7" s="158">
        <f t="shared" si="1"/>
        <v>179442</v>
      </c>
      <c r="F7" s="91">
        <v>0</v>
      </c>
      <c r="G7" s="158">
        <f t="shared" si="2"/>
        <v>220846</v>
      </c>
      <c r="H7" s="158">
        <f>C7*6.25%+C7</f>
        <v>234648.875</v>
      </c>
      <c r="I7" s="386">
        <f>H7*6.25%+H7</f>
        <v>249314.4296875</v>
      </c>
    </row>
    <row r="8" spans="1:9" s="469" customFormat="1" x14ac:dyDescent="0.25">
      <c r="A8" s="253" t="s">
        <v>5</v>
      </c>
      <c r="B8" s="158">
        <v>603043</v>
      </c>
      <c r="C8" s="158">
        <f t="shared" si="0"/>
        <v>640733.1875</v>
      </c>
      <c r="D8" s="158">
        <v>602090</v>
      </c>
      <c r="E8" s="158">
        <f t="shared" si="1"/>
        <v>38643.1875</v>
      </c>
      <c r="F8" s="91">
        <v>603000</v>
      </c>
      <c r="G8" s="158">
        <f t="shared" si="2"/>
        <v>1243733.1875</v>
      </c>
      <c r="H8" s="158">
        <f>C8*6.25%+C8</f>
        <v>680779.01171875</v>
      </c>
      <c r="I8" s="386">
        <f t="shared" si="0"/>
        <v>723327.69995117188</v>
      </c>
    </row>
    <row r="9" spans="1:9" s="472" customFormat="1" x14ac:dyDescent="0.25">
      <c r="A9" s="424" t="s">
        <v>40</v>
      </c>
      <c r="B9" s="246">
        <f>SUM(B4:B8)</f>
        <v>4316912</v>
      </c>
      <c r="C9" s="246">
        <f>SUM(C4:C8)</f>
        <v>4807565</v>
      </c>
      <c r="D9" s="246">
        <f>SUM(D4:D8)</f>
        <v>2690324</v>
      </c>
      <c r="E9" s="246">
        <f>SUM(E4:E8)</f>
        <v>2117241</v>
      </c>
      <c r="F9" s="246">
        <f t="shared" ref="F9:G9" si="3">SUM(F4:F8)</f>
        <v>1053000</v>
      </c>
      <c r="G9" s="246">
        <f t="shared" si="3"/>
        <v>5860565</v>
      </c>
      <c r="H9" s="246">
        <f>SUM(H4:H8)</f>
        <v>5108037.8125</v>
      </c>
      <c r="I9" s="387">
        <f>SUM(I4:I8)</f>
        <v>5427290.17578125</v>
      </c>
    </row>
    <row r="10" spans="1:9" s="469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469" customFormat="1" x14ac:dyDescent="0.25">
      <c r="A11" s="253" t="s">
        <v>6</v>
      </c>
      <c r="B11" s="158">
        <v>371616</v>
      </c>
      <c r="C11" s="158">
        <f>B11*6.25%+B11</f>
        <v>394842</v>
      </c>
      <c r="D11" s="158">
        <v>129927</v>
      </c>
      <c r="E11" s="158">
        <f t="shared" ref="E11:E14" si="4">C11-D11</f>
        <v>264915</v>
      </c>
      <c r="F11" s="91">
        <v>-130000</v>
      </c>
      <c r="G11" s="158">
        <f t="shared" ref="G11:G15" si="5">C11+F11</f>
        <v>264842</v>
      </c>
      <c r="H11" s="158">
        <f>C11*6.25%+C11</f>
        <v>419519.625</v>
      </c>
      <c r="I11" s="386">
        <f>H11*6.25%+H11</f>
        <v>445739.6015625</v>
      </c>
    </row>
    <row r="12" spans="1:9" s="469" customFormat="1" x14ac:dyDescent="0.25">
      <c r="A12" s="253" t="s">
        <v>7</v>
      </c>
      <c r="B12" s="158">
        <v>34105</v>
      </c>
      <c r="C12" s="158">
        <f t="shared" ref="C12:I13" si="6">B12*6.25%+B12</f>
        <v>36236.5625</v>
      </c>
      <c r="D12" s="158">
        <v>6097</v>
      </c>
      <c r="E12" s="158">
        <f t="shared" si="4"/>
        <v>30139.5625</v>
      </c>
      <c r="F12" s="91">
        <v>-20000</v>
      </c>
      <c r="G12" s="158">
        <f t="shared" si="5"/>
        <v>16236.5625</v>
      </c>
      <c r="H12" s="158">
        <f>C12*6.25%+C12</f>
        <v>38501.34765625</v>
      </c>
      <c r="I12" s="386">
        <f t="shared" si="6"/>
        <v>40907.681884765625</v>
      </c>
    </row>
    <row r="13" spans="1:9" s="469" customFormat="1" x14ac:dyDescent="0.25">
      <c r="A13" s="253" t="s">
        <v>53</v>
      </c>
      <c r="B13" s="158">
        <v>750302</v>
      </c>
      <c r="C13" s="158">
        <f t="shared" si="6"/>
        <v>797195.875</v>
      </c>
      <c r="D13" s="158">
        <v>347445</v>
      </c>
      <c r="E13" s="158">
        <f t="shared" si="4"/>
        <v>449750.875</v>
      </c>
      <c r="F13" s="91">
        <v>-100000</v>
      </c>
      <c r="G13" s="158">
        <f t="shared" si="5"/>
        <v>697195.875</v>
      </c>
      <c r="H13" s="158">
        <f>C13*6.25%+C13</f>
        <v>847020.6171875</v>
      </c>
      <c r="I13" s="386">
        <f t="shared" si="6"/>
        <v>899959.40576171875</v>
      </c>
    </row>
    <row r="14" spans="1:9" s="469" customFormat="1" x14ac:dyDescent="0.25">
      <c r="A14" s="253" t="s">
        <v>396</v>
      </c>
      <c r="B14" s="158"/>
      <c r="C14" s="158">
        <v>16200</v>
      </c>
      <c r="D14" s="158"/>
      <c r="E14" s="158">
        <f t="shared" si="4"/>
        <v>16200</v>
      </c>
      <c r="F14" s="91">
        <v>-16200</v>
      </c>
      <c r="G14" s="158">
        <f t="shared" si="5"/>
        <v>0</v>
      </c>
      <c r="H14" s="158">
        <v>17317.8</v>
      </c>
      <c r="I14" s="386">
        <v>18512.728199999998</v>
      </c>
    </row>
    <row r="15" spans="1:9" s="469" customFormat="1" x14ac:dyDescent="0.25">
      <c r="A15" s="785" t="s">
        <v>872</v>
      </c>
      <c r="B15" s="158">
        <v>32023</v>
      </c>
      <c r="C15" s="576">
        <v>0</v>
      </c>
      <c r="D15" s="576">
        <v>0</v>
      </c>
      <c r="E15" s="576">
        <v>0</v>
      </c>
      <c r="F15" s="576">
        <v>432</v>
      </c>
      <c r="G15" s="158">
        <f t="shared" si="5"/>
        <v>432</v>
      </c>
      <c r="H15" s="576">
        <v>0</v>
      </c>
      <c r="I15" s="576">
        <v>0</v>
      </c>
    </row>
    <row r="16" spans="1:9" s="472" customFormat="1" x14ac:dyDescent="0.25">
      <c r="A16" s="424" t="s">
        <v>41</v>
      </c>
      <c r="B16" s="246">
        <f>SUM(B11:B15)</f>
        <v>1188046</v>
      </c>
      <c r="C16" s="246">
        <f>SUM(C11:C15)</f>
        <v>1244474.4375</v>
      </c>
      <c r="D16" s="246">
        <f t="shared" ref="D16:G16" si="7">SUM(D11:D15)</f>
        <v>483469</v>
      </c>
      <c r="E16" s="246">
        <f t="shared" si="7"/>
        <v>761005.4375</v>
      </c>
      <c r="F16" s="246">
        <f t="shared" si="7"/>
        <v>-265768</v>
      </c>
      <c r="G16" s="246">
        <f t="shared" si="7"/>
        <v>978706.4375</v>
      </c>
      <c r="H16" s="246">
        <f>SUM(H11:H15)</f>
        <v>1322359.38984375</v>
      </c>
      <c r="I16" s="246">
        <f>SUM(I11:I15)</f>
        <v>1405119.4174089844</v>
      </c>
    </row>
    <row r="17" spans="1:12" s="472" customFormat="1" x14ac:dyDescent="0.25">
      <c r="A17" s="477"/>
      <c r="B17" s="246"/>
      <c r="C17" s="246"/>
      <c r="D17" s="246"/>
      <c r="E17" s="246"/>
      <c r="F17" s="246"/>
      <c r="G17" s="246"/>
      <c r="H17" s="246"/>
      <c r="I17" s="246"/>
    </row>
    <row r="18" spans="1:12" hidden="1" x14ac:dyDescent="0.25">
      <c r="A18" s="253" t="s">
        <v>211</v>
      </c>
      <c r="B18" s="160">
        <v>0</v>
      </c>
      <c r="C18" s="158">
        <f>B18*5.9%+B18</f>
        <v>0</v>
      </c>
      <c r="D18" s="158"/>
      <c r="E18" s="158"/>
      <c r="F18" s="158"/>
      <c r="G18" s="158"/>
      <c r="H18" s="158">
        <f>C18*5.6%+C18</f>
        <v>0</v>
      </c>
      <c r="I18" s="386">
        <f>H18*6.9%+H18</f>
        <v>0</v>
      </c>
    </row>
    <row r="19" spans="1:12" hidden="1" x14ac:dyDescent="0.25">
      <c r="A19" s="477"/>
      <c r="B19" s="246">
        <f>B18</f>
        <v>0</v>
      </c>
      <c r="C19" s="246">
        <f>C18</f>
        <v>0</v>
      </c>
      <c r="D19" s="246"/>
      <c r="E19" s="246"/>
      <c r="F19" s="246"/>
      <c r="G19" s="246"/>
      <c r="H19" s="246">
        <f>H18</f>
        <v>0</v>
      </c>
      <c r="I19" s="386">
        <f>H19*6.9%+H19</f>
        <v>0</v>
      </c>
    </row>
    <row r="20" spans="1:12" s="18" customFormat="1" x14ac:dyDescent="0.25">
      <c r="A20" s="253"/>
      <c r="B20" s="158"/>
      <c r="C20" s="158"/>
      <c r="D20" s="158"/>
      <c r="E20" s="158"/>
      <c r="F20" s="158"/>
      <c r="G20" s="158"/>
      <c r="H20" s="158"/>
      <c r="I20" s="386">
        <f>H20*6.9%+H20</f>
        <v>0</v>
      </c>
    </row>
    <row r="21" spans="1:12" s="473" customFormat="1" x14ac:dyDescent="0.25">
      <c r="A21" s="353" t="s">
        <v>775</v>
      </c>
      <c r="B21" s="158"/>
      <c r="C21" s="158">
        <v>18000000</v>
      </c>
      <c r="D21" s="158"/>
      <c r="E21" s="158">
        <f t="shared" ref="E21:E24" si="8">C21-D21</f>
        <v>18000000</v>
      </c>
      <c r="F21" s="91">
        <v>-12600000</v>
      </c>
      <c r="G21" s="158">
        <f t="shared" ref="G21:G24" si="9">C21+F21</f>
        <v>5400000</v>
      </c>
      <c r="H21" s="158">
        <v>48500000</v>
      </c>
      <c r="I21" s="386">
        <v>60500000</v>
      </c>
    </row>
    <row r="22" spans="1:12" s="469" customFormat="1" x14ac:dyDescent="0.25">
      <c r="A22" s="353" t="s">
        <v>776</v>
      </c>
      <c r="B22" s="158"/>
      <c r="C22" s="158">
        <v>12000000</v>
      </c>
      <c r="D22" s="158"/>
      <c r="E22" s="158">
        <f t="shared" si="8"/>
        <v>12000000</v>
      </c>
      <c r="F22" s="91">
        <v>-8400000</v>
      </c>
      <c r="G22" s="158">
        <f t="shared" si="9"/>
        <v>3600000</v>
      </c>
      <c r="H22" s="158">
        <v>30000000</v>
      </c>
      <c r="I22" s="386">
        <v>40211468</v>
      </c>
    </row>
    <row r="23" spans="1:12" s="18" customFormat="1" x14ac:dyDescent="0.25">
      <c r="A23" s="353" t="s">
        <v>777</v>
      </c>
      <c r="B23" s="158"/>
      <c r="C23" s="158">
        <v>10000000</v>
      </c>
      <c r="D23" s="158"/>
      <c r="E23" s="158">
        <f t="shared" si="8"/>
        <v>10000000</v>
      </c>
      <c r="F23" s="91">
        <v>-7000000</v>
      </c>
      <c r="G23" s="158">
        <f t="shared" si="9"/>
        <v>3000000</v>
      </c>
      <c r="H23" s="158">
        <v>15729185</v>
      </c>
      <c r="I23" s="386">
        <v>0</v>
      </c>
    </row>
    <row r="24" spans="1:12" s="18" customFormat="1" x14ac:dyDescent="0.25">
      <c r="A24" s="353" t="s">
        <v>778</v>
      </c>
      <c r="B24" s="158"/>
      <c r="C24" s="158">
        <v>10000000</v>
      </c>
      <c r="D24" s="158"/>
      <c r="E24" s="158">
        <f t="shared" si="8"/>
        <v>10000000</v>
      </c>
      <c r="F24" s="91">
        <v>-7000000</v>
      </c>
      <c r="G24" s="158">
        <f t="shared" si="9"/>
        <v>3000000</v>
      </c>
      <c r="H24" s="158">
        <v>9048144</v>
      </c>
      <c r="I24" s="386">
        <v>0</v>
      </c>
    </row>
    <row r="25" spans="1:12" s="18" customFormat="1" x14ac:dyDescent="0.25">
      <c r="A25" s="253"/>
      <c r="B25" s="158"/>
      <c r="C25" s="158"/>
      <c r="D25" s="158"/>
      <c r="E25" s="158"/>
      <c r="F25" s="158"/>
      <c r="G25" s="158"/>
      <c r="H25" s="158"/>
      <c r="I25" s="386"/>
    </row>
    <row r="26" spans="1:12" s="134" customFormat="1" x14ac:dyDescent="0.25">
      <c r="A26" s="424" t="s">
        <v>43</v>
      </c>
      <c r="B26" s="246">
        <f>SUM(B21:B25)</f>
        <v>0</v>
      </c>
      <c r="C26" s="246">
        <f>SUM(C21:C25)</f>
        <v>50000000</v>
      </c>
      <c r="D26" s="246">
        <f>SUM(D21:D25)</f>
        <v>0</v>
      </c>
      <c r="E26" s="246">
        <f>SUM(E21:E25)</f>
        <v>50000000</v>
      </c>
      <c r="F26" s="246">
        <f t="shared" ref="F26:G26" si="10">SUM(F21:F25)</f>
        <v>-35000000</v>
      </c>
      <c r="G26" s="246">
        <f t="shared" si="10"/>
        <v>15000000</v>
      </c>
      <c r="H26" s="246">
        <f>SUM(H21:H25)</f>
        <v>103277329</v>
      </c>
      <c r="I26" s="387">
        <f>SUM(I21:I25)</f>
        <v>100711468</v>
      </c>
    </row>
    <row r="27" spans="1:12" s="18" customFormat="1" x14ac:dyDescent="0.25">
      <c r="A27" s="253"/>
      <c r="B27" s="158"/>
      <c r="C27" s="158"/>
      <c r="D27" s="158"/>
      <c r="E27" s="158"/>
      <c r="F27" s="158"/>
      <c r="G27" s="158"/>
      <c r="H27" s="158"/>
      <c r="I27" s="386">
        <f>H27*6.9%+H27</f>
        <v>0</v>
      </c>
    </row>
    <row r="28" spans="1:12" s="18" customFormat="1" x14ac:dyDescent="0.25">
      <c r="A28" s="271" t="s">
        <v>57</v>
      </c>
      <c r="B28" s="158">
        <v>50000</v>
      </c>
      <c r="C28" s="158">
        <v>50000</v>
      </c>
      <c r="D28" s="158"/>
      <c r="E28" s="158">
        <f t="shared" ref="E28:E31" si="11">C28-D28</f>
        <v>50000</v>
      </c>
      <c r="F28" s="91">
        <v>-40000</v>
      </c>
      <c r="G28" s="158">
        <f t="shared" ref="G28:G31" si="12">C28+F28</f>
        <v>10000</v>
      </c>
      <c r="H28" s="158">
        <f>C28*6.25%+C28</f>
        <v>53125</v>
      </c>
      <c r="I28" s="386">
        <f>H28*6.25%+H28</f>
        <v>56445.3125</v>
      </c>
      <c r="K28" s="241"/>
    </row>
    <row r="29" spans="1:12" s="18" customFormat="1" x14ac:dyDescent="0.25">
      <c r="A29" s="271" t="s">
        <v>51</v>
      </c>
      <c r="B29" s="158">
        <v>50000</v>
      </c>
      <c r="C29" s="158">
        <v>80000</v>
      </c>
      <c r="D29" s="158">
        <v>5925</v>
      </c>
      <c r="E29" s="158">
        <f t="shared" si="11"/>
        <v>74075</v>
      </c>
      <c r="F29" s="91">
        <v>-50000</v>
      </c>
      <c r="G29" s="158">
        <f t="shared" si="12"/>
        <v>30000</v>
      </c>
      <c r="H29" s="158">
        <f>C29*6.25%+C29</f>
        <v>85000</v>
      </c>
      <c r="I29" s="386">
        <f t="shared" ref="I29" si="13">H29*6.25%+H29</f>
        <v>90312.5</v>
      </c>
      <c r="K29" s="241"/>
    </row>
    <row r="30" spans="1:12" s="18" customFormat="1" x14ac:dyDescent="0.25">
      <c r="A30" s="253" t="s">
        <v>9</v>
      </c>
      <c r="B30" s="158"/>
      <c r="C30" s="158">
        <v>34024.4375</v>
      </c>
      <c r="D30" s="158">
        <v>23766</v>
      </c>
      <c r="E30" s="158">
        <f t="shared" si="11"/>
        <v>10258.4375</v>
      </c>
      <c r="F30" s="91">
        <v>0</v>
      </c>
      <c r="G30" s="158">
        <f t="shared" si="12"/>
        <v>34024.4375</v>
      </c>
      <c r="H30" s="158">
        <f>C30*6.25%+C30</f>
        <v>36150.96484375</v>
      </c>
      <c r="I30" s="386">
        <f>H30*6.25%+H30</f>
        <v>38410.400146484375</v>
      </c>
    </row>
    <row r="31" spans="1:12" s="18" customFormat="1" ht="30" x14ac:dyDescent="0.25">
      <c r="A31" s="353" t="s">
        <v>366</v>
      </c>
      <c r="B31" s="158">
        <v>1052000</v>
      </c>
      <c r="C31" s="158">
        <v>2050000</v>
      </c>
      <c r="D31" s="158">
        <v>2130067</v>
      </c>
      <c r="E31" s="158">
        <f t="shared" si="11"/>
        <v>-80067</v>
      </c>
      <c r="F31" s="808">
        <f>200000</f>
        <v>200000</v>
      </c>
      <c r="G31" s="158">
        <f t="shared" si="12"/>
        <v>2250000</v>
      </c>
      <c r="H31" s="158">
        <v>0</v>
      </c>
      <c r="I31" s="386">
        <v>0</v>
      </c>
    </row>
    <row r="32" spans="1:12" s="134" customFormat="1" x14ac:dyDescent="0.25">
      <c r="A32" s="424" t="s">
        <v>42</v>
      </c>
      <c r="B32" s="246">
        <f t="shared" ref="B32:I32" si="14">SUM(B28:B31)</f>
        <v>1152000</v>
      </c>
      <c r="C32" s="246">
        <f t="shared" si="14"/>
        <v>2214024.4375</v>
      </c>
      <c r="D32" s="246">
        <f t="shared" si="14"/>
        <v>2159758</v>
      </c>
      <c r="E32" s="246">
        <f t="shared" si="14"/>
        <v>54266.4375</v>
      </c>
      <c r="F32" s="246">
        <f t="shared" si="14"/>
        <v>110000</v>
      </c>
      <c r="G32" s="246">
        <f t="shared" si="14"/>
        <v>2324024.4375</v>
      </c>
      <c r="H32" s="246">
        <f t="shared" si="14"/>
        <v>174275.96484375</v>
      </c>
      <c r="I32" s="387">
        <f t="shared" si="14"/>
        <v>185168.21264648438</v>
      </c>
      <c r="L32" s="240"/>
    </row>
    <row r="33" spans="1:9" s="18" customFormat="1" x14ac:dyDescent="0.25">
      <c r="A33" s="253"/>
      <c r="B33" s="158"/>
      <c r="C33" s="158"/>
      <c r="D33" s="158"/>
      <c r="E33" s="158"/>
      <c r="F33" s="158"/>
      <c r="G33" s="158"/>
      <c r="H33" s="158"/>
      <c r="I33" s="386">
        <f>H33*6.9%+H33</f>
        <v>0</v>
      </c>
    </row>
    <row r="34" spans="1:9" s="18" customFormat="1" ht="15.75" thickBot="1" x14ac:dyDescent="0.3">
      <c r="A34" s="426" t="s">
        <v>46</v>
      </c>
      <c r="B34" s="392">
        <f t="shared" ref="B34:I34" si="15">B9+B16+B19+B26+B32</f>
        <v>6656958</v>
      </c>
      <c r="C34" s="392">
        <f t="shared" si="15"/>
        <v>58266063.875</v>
      </c>
      <c r="D34" s="392">
        <f t="shared" si="15"/>
        <v>5333551</v>
      </c>
      <c r="E34" s="392">
        <f t="shared" si="15"/>
        <v>52932512.875</v>
      </c>
      <c r="F34" s="810">
        <f t="shared" si="15"/>
        <v>-34102768</v>
      </c>
      <c r="G34" s="392">
        <f t="shared" si="15"/>
        <v>24163295.875</v>
      </c>
      <c r="H34" s="392">
        <f t="shared" si="15"/>
        <v>109882002.1671875</v>
      </c>
      <c r="I34" s="393">
        <f t="shared" si="15"/>
        <v>107729045.80583672</v>
      </c>
    </row>
  </sheetData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>
    <oddFooter>&amp;A&amp;RPage &amp;P</oddFooter>
  </headerFooter>
  <rowBreaks count="1" manualBreakCount="1">
    <brk id="43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view="pageBreakPreview" topLeftCell="A16" zoomScale="85" zoomScaleNormal="60" zoomScaleSheetLayoutView="85" workbookViewId="0"/>
  </sheetViews>
  <sheetFormatPr defaultColWidth="9.28515625" defaultRowHeight="15" x14ac:dyDescent="0.25"/>
  <cols>
    <col min="1" max="1" width="39.140625" style="352" customWidth="1"/>
    <col min="2" max="2" width="16.7109375" style="247" hidden="1" customWidth="1"/>
    <col min="3" max="8" width="16.7109375" style="247" customWidth="1"/>
    <col min="9" max="9" width="16.42578125" style="352" customWidth="1"/>
    <col min="10" max="16384" width="9.28515625" style="19"/>
  </cols>
  <sheetData>
    <row r="1" spans="1:9" ht="18.75" x14ac:dyDescent="0.3">
      <c r="A1" s="519" t="s">
        <v>545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s="18" customFormat="1" ht="36.75" customHeight="1" thickBot="1" x14ac:dyDescent="0.3">
      <c r="A3" s="521" t="s">
        <v>39</v>
      </c>
      <c r="B3" s="384" t="s">
        <v>393</v>
      </c>
      <c r="C3" s="384" t="s">
        <v>442</v>
      </c>
      <c r="D3" s="604" t="s">
        <v>800</v>
      </c>
      <c r="E3" s="714" t="s">
        <v>87</v>
      </c>
      <c r="F3" s="384" t="s">
        <v>164</v>
      </c>
      <c r="G3" s="605" t="s">
        <v>789</v>
      </c>
      <c r="H3" s="409" t="s">
        <v>556</v>
      </c>
      <c r="I3" s="408" t="s">
        <v>644</v>
      </c>
    </row>
    <row r="4" spans="1:9" s="469" customFormat="1" x14ac:dyDescent="0.25">
      <c r="A4" s="522" t="s">
        <v>2</v>
      </c>
      <c r="B4" s="358">
        <v>1554808</v>
      </c>
      <c r="C4" s="239">
        <f>B4*6.25%+B4</f>
        <v>1651983.5</v>
      </c>
      <c r="D4" s="239">
        <v>1234402</v>
      </c>
      <c r="E4" s="239">
        <f>C4-D4</f>
        <v>417581.5</v>
      </c>
      <c r="F4" s="91">
        <v>400000</v>
      </c>
      <c r="G4" s="239">
        <f>C4+F4</f>
        <v>2051983.5</v>
      </c>
      <c r="H4" s="239">
        <f>C4*6.25%+C4</f>
        <v>1755232.46875</v>
      </c>
      <c r="I4" s="386">
        <f>H4*6.25%+H4</f>
        <v>1864934.498046875</v>
      </c>
    </row>
    <row r="5" spans="1:9" s="469" customFormat="1" x14ac:dyDescent="0.25">
      <c r="A5" s="253" t="s">
        <v>3</v>
      </c>
      <c r="B5" s="158">
        <v>129567</v>
      </c>
      <c r="C5" s="239">
        <f t="shared" ref="C5:I8" si="0">B5*6.25%+B5</f>
        <v>137664.9375</v>
      </c>
      <c r="D5" s="239">
        <v>70309</v>
      </c>
      <c r="E5" s="239">
        <f t="shared" ref="E5:E8" si="1">C5-D5</f>
        <v>67355.9375</v>
      </c>
      <c r="F5" s="91">
        <v>0</v>
      </c>
      <c r="G5" s="239">
        <f t="shared" ref="G5:G8" si="2">C5+F5</f>
        <v>137664.9375</v>
      </c>
      <c r="H5" s="239">
        <f>C5*6.25%+C5</f>
        <v>146268.99609375</v>
      </c>
      <c r="I5" s="386">
        <f t="shared" si="0"/>
        <v>155410.80834960938</v>
      </c>
    </row>
    <row r="6" spans="1:9" s="469" customFormat="1" x14ac:dyDescent="0.25">
      <c r="A6" s="253" t="s">
        <v>4</v>
      </c>
      <c r="B6" s="158">
        <v>28800</v>
      </c>
      <c r="C6" s="239">
        <f t="shared" si="0"/>
        <v>30600</v>
      </c>
      <c r="D6" s="239">
        <v>17361</v>
      </c>
      <c r="E6" s="239">
        <f t="shared" si="1"/>
        <v>13239</v>
      </c>
      <c r="F6" s="91">
        <v>0</v>
      </c>
      <c r="G6" s="239">
        <f t="shared" si="2"/>
        <v>30600</v>
      </c>
      <c r="H6" s="239">
        <f>C6*6.25%+C6</f>
        <v>32512.5</v>
      </c>
      <c r="I6" s="386">
        <f t="shared" si="0"/>
        <v>34544.53125</v>
      </c>
    </row>
    <row r="7" spans="1:9" s="469" customFormat="1" x14ac:dyDescent="0.25">
      <c r="A7" s="253" t="s">
        <v>173</v>
      </c>
      <c r="B7" s="158"/>
      <c r="C7" s="239">
        <v>113759</v>
      </c>
      <c r="D7" s="239">
        <v>73887</v>
      </c>
      <c r="E7" s="239">
        <f t="shared" si="1"/>
        <v>39872</v>
      </c>
      <c r="F7" s="91">
        <v>0</v>
      </c>
      <c r="G7" s="239">
        <f t="shared" si="2"/>
        <v>113759</v>
      </c>
      <c r="H7" s="239">
        <f>C7*6.25%+C7</f>
        <v>120868.9375</v>
      </c>
      <c r="I7" s="386">
        <f>H7*6.25%+H7</f>
        <v>128423.24609375</v>
      </c>
    </row>
    <row r="8" spans="1:9" s="469" customFormat="1" x14ac:dyDescent="0.25">
      <c r="A8" s="253" t="s">
        <v>5</v>
      </c>
      <c r="B8" s="158">
        <v>603043</v>
      </c>
      <c r="C8" s="239">
        <f t="shared" si="0"/>
        <v>640733.1875</v>
      </c>
      <c r="D8" s="239">
        <v>329961</v>
      </c>
      <c r="E8" s="239">
        <f t="shared" si="1"/>
        <v>310772.1875</v>
      </c>
      <c r="F8" s="91">
        <v>0</v>
      </c>
      <c r="G8" s="239">
        <f t="shared" si="2"/>
        <v>640733.1875</v>
      </c>
      <c r="H8" s="239">
        <f>C8*6.25%+C8</f>
        <v>680779.01171875</v>
      </c>
      <c r="I8" s="386">
        <f t="shared" si="0"/>
        <v>723327.69995117188</v>
      </c>
    </row>
    <row r="9" spans="1:9" s="472" customFormat="1" x14ac:dyDescent="0.25">
      <c r="A9" s="424" t="s">
        <v>40</v>
      </c>
      <c r="B9" s="246">
        <f>SUM(B4:B8)</f>
        <v>2316218</v>
      </c>
      <c r="C9" s="351">
        <f>SUM(C4:C8)</f>
        <v>2574740.625</v>
      </c>
      <c r="D9" s="351">
        <f>SUM(D4:D8)</f>
        <v>1725920</v>
      </c>
      <c r="E9" s="351">
        <f>SUM(E4:E8)</f>
        <v>848820.625</v>
      </c>
      <c r="F9" s="351">
        <f t="shared" ref="F9:G9" si="3">SUM(F4:F8)</f>
        <v>400000</v>
      </c>
      <c r="G9" s="351">
        <f t="shared" si="3"/>
        <v>2974740.625</v>
      </c>
      <c r="H9" s="351">
        <f>SUM(H4:H8)</f>
        <v>2735661.9140625</v>
      </c>
      <c r="I9" s="387">
        <f>SUM(I4:I8)</f>
        <v>2906640.7836914063</v>
      </c>
    </row>
    <row r="10" spans="1:9" s="469" customFormat="1" x14ac:dyDescent="0.25">
      <c r="A10" s="253"/>
      <c r="B10" s="158"/>
      <c r="C10" s="239"/>
      <c r="D10" s="239"/>
      <c r="E10" s="239"/>
      <c r="F10" s="239"/>
      <c r="G10" s="239"/>
      <c r="H10" s="239"/>
      <c r="I10" s="386">
        <f t="shared" ref="I10:I35" si="4">H10*6.9%+H10</f>
        <v>0</v>
      </c>
    </row>
    <row r="11" spans="1:9" s="469" customFormat="1" x14ac:dyDescent="0.25">
      <c r="A11" s="253" t="s">
        <v>6</v>
      </c>
      <c r="B11" s="158">
        <v>139356</v>
      </c>
      <c r="C11" s="239">
        <f>B11*6.25%+B11</f>
        <v>148065.75</v>
      </c>
      <c r="D11" s="239">
        <v>63498</v>
      </c>
      <c r="E11" s="239">
        <f t="shared" ref="E11:E14" si="5">C11-D11</f>
        <v>84567.75</v>
      </c>
      <c r="F11" s="91">
        <v>-15000</v>
      </c>
      <c r="G11" s="239">
        <f t="shared" ref="G11:G15" si="6">C11+F11</f>
        <v>133065.75</v>
      </c>
      <c r="H11" s="239">
        <f>C11*6.25%+C11</f>
        <v>157319.859375</v>
      </c>
      <c r="I11" s="386">
        <f>H11*6.25%+H11</f>
        <v>167152.3505859375</v>
      </c>
    </row>
    <row r="12" spans="1:9" s="469" customFormat="1" x14ac:dyDescent="0.25">
      <c r="A12" s="253" t="s">
        <v>7</v>
      </c>
      <c r="B12" s="158">
        <v>15548</v>
      </c>
      <c r="C12" s="239">
        <f t="shared" ref="C12:I13" si="7">B12*6.25%+B12</f>
        <v>16519.75</v>
      </c>
      <c r="D12" s="239">
        <v>2676</v>
      </c>
      <c r="E12" s="239">
        <f t="shared" si="5"/>
        <v>13843.75</v>
      </c>
      <c r="F12" s="91">
        <v>-10000</v>
      </c>
      <c r="G12" s="239">
        <f t="shared" si="6"/>
        <v>6519.75</v>
      </c>
      <c r="H12" s="239">
        <f>C12*6.25%+C12</f>
        <v>17552.234375</v>
      </c>
      <c r="I12" s="386">
        <f t="shared" si="7"/>
        <v>18649.2490234375</v>
      </c>
    </row>
    <row r="13" spans="1:9" s="469" customFormat="1" x14ac:dyDescent="0.25">
      <c r="A13" s="253" t="s">
        <v>53</v>
      </c>
      <c r="B13" s="158">
        <v>342058</v>
      </c>
      <c r="C13" s="239">
        <f t="shared" si="7"/>
        <v>363436.625</v>
      </c>
      <c r="D13" s="239">
        <v>182187</v>
      </c>
      <c r="E13" s="239">
        <f t="shared" si="5"/>
        <v>181249.625</v>
      </c>
      <c r="F13" s="91">
        <v>0</v>
      </c>
      <c r="G13" s="239">
        <f t="shared" si="6"/>
        <v>363436.625</v>
      </c>
      <c r="H13" s="239">
        <f>C13*6.25%+C13</f>
        <v>386151.4140625</v>
      </c>
      <c r="I13" s="386">
        <f t="shared" si="7"/>
        <v>410285.87744140625</v>
      </c>
    </row>
    <row r="14" spans="1:9" s="469" customFormat="1" x14ac:dyDescent="0.25">
      <c r="A14" s="253" t="s">
        <v>439</v>
      </c>
      <c r="B14" s="158"/>
      <c r="C14" s="239">
        <v>20400</v>
      </c>
      <c r="D14" s="239"/>
      <c r="E14" s="239">
        <f t="shared" si="5"/>
        <v>20400</v>
      </c>
      <c r="F14" s="91">
        <v>-20400</v>
      </c>
      <c r="G14" s="239">
        <f t="shared" si="6"/>
        <v>0</v>
      </c>
      <c r="H14" s="239">
        <v>21807.599999999999</v>
      </c>
      <c r="I14" s="386">
        <v>23312.324399999998</v>
      </c>
    </row>
    <row r="15" spans="1:9" s="469" customFormat="1" x14ac:dyDescent="0.25">
      <c r="A15" s="785" t="s">
        <v>872</v>
      </c>
      <c r="B15" s="158">
        <v>14599</v>
      </c>
      <c r="C15" s="752"/>
      <c r="D15" s="752"/>
      <c r="E15" s="752"/>
      <c r="F15" s="752">
        <v>540</v>
      </c>
      <c r="G15" s="239">
        <f t="shared" si="6"/>
        <v>540</v>
      </c>
      <c r="H15" s="752"/>
      <c r="I15" s="752"/>
    </row>
    <row r="16" spans="1:9" s="472" customFormat="1" x14ac:dyDescent="0.25">
      <c r="A16" s="424" t="s">
        <v>41</v>
      </c>
      <c r="B16" s="246">
        <f>SUM(B11:B15)</f>
        <v>511561</v>
      </c>
      <c r="C16" s="351">
        <f>SUM(C11:C15)</f>
        <v>548422.125</v>
      </c>
      <c r="D16" s="351">
        <f>SUM(D11:D15)</f>
        <v>248361</v>
      </c>
      <c r="E16" s="351">
        <f>SUM(E11:E15)</f>
        <v>300061.125</v>
      </c>
      <c r="F16" s="351">
        <f t="shared" ref="F16:G16" si="8">SUM(F11:F15)</f>
        <v>-44860</v>
      </c>
      <c r="G16" s="351">
        <f t="shared" si="8"/>
        <v>503562.125</v>
      </c>
      <c r="H16" s="351">
        <f>SUM(H11:H15)</f>
        <v>582831.10781249998</v>
      </c>
      <c r="I16" s="351">
        <f>SUM(I11:I15)</f>
        <v>619399.80145078129</v>
      </c>
    </row>
    <row r="17" spans="1:9" s="472" customFormat="1" x14ac:dyDescent="0.25">
      <c r="A17" s="477"/>
      <c r="B17" s="246"/>
      <c r="C17" s="351"/>
      <c r="D17" s="351"/>
      <c r="E17" s="351"/>
      <c r="F17" s="351"/>
      <c r="G17" s="351"/>
      <c r="H17" s="351"/>
      <c r="I17" s="351"/>
    </row>
    <row r="18" spans="1:9" s="134" customFormat="1" hidden="1" x14ac:dyDescent="0.25">
      <c r="A18" s="477"/>
      <c r="B18" s="246"/>
      <c r="C18" s="351"/>
      <c r="D18" s="351"/>
      <c r="E18" s="351"/>
      <c r="F18" s="351"/>
      <c r="G18" s="351"/>
      <c r="H18" s="351"/>
      <c r="I18" s="386">
        <f t="shared" si="4"/>
        <v>0</v>
      </c>
    </row>
    <row r="19" spans="1:9" hidden="1" x14ac:dyDescent="0.25">
      <c r="A19" s="253" t="s">
        <v>211</v>
      </c>
      <c r="B19" s="160"/>
      <c r="C19" s="239">
        <f>B19*5.9%+B19</f>
        <v>0</v>
      </c>
      <c r="D19" s="239"/>
      <c r="E19" s="239"/>
      <c r="F19" s="239"/>
      <c r="G19" s="239"/>
      <c r="H19" s="239">
        <f>C19*5.6%+C19</f>
        <v>0</v>
      </c>
      <c r="I19" s="386">
        <f t="shared" si="4"/>
        <v>0</v>
      </c>
    </row>
    <row r="20" spans="1:9" hidden="1" x14ac:dyDescent="0.25">
      <c r="A20" s="477"/>
      <c r="B20" s="246">
        <f>B19</f>
        <v>0</v>
      </c>
      <c r="C20" s="351">
        <f>C19</f>
        <v>0</v>
      </c>
      <c r="D20" s="351"/>
      <c r="E20" s="351"/>
      <c r="F20" s="351"/>
      <c r="G20" s="351"/>
      <c r="H20" s="351">
        <f>H19</f>
        <v>0</v>
      </c>
      <c r="I20" s="386">
        <f t="shared" si="4"/>
        <v>0</v>
      </c>
    </row>
    <row r="21" spans="1:9" s="18" customFormat="1" hidden="1" x14ac:dyDescent="0.25">
      <c r="A21" s="253"/>
      <c r="B21" s="158"/>
      <c r="C21" s="239"/>
      <c r="D21" s="239"/>
      <c r="E21" s="239"/>
      <c r="F21" s="239"/>
      <c r="G21" s="239"/>
      <c r="H21" s="239"/>
      <c r="I21" s="386">
        <f t="shared" si="4"/>
        <v>0</v>
      </c>
    </row>
    <row r="22" spans="1:9" s="18" customFormat="1" hidden="1" x14ac:dyDescent="0.25">
      <c r="A22" s="253" t="s">
        <v>20</v>
      </c>
      <c r="B22" s="158"/>
      <c r="C22" s="239">
        <f>B22*5.9%+B22</f>
        <v>0</v>
      </c>
      <c r="D22" s="239"/>
      <c r="E22" s="239"/>
      <c r="F22" s="239"/>
      <c r="G22" s="239"/>
      <c r="H22" s="239">
        <f>C22*5.6%+C22</f>
        <v>0</v>
      </c>
      <c r="I22" s="386">
        <f t="shared" si="4"/>
        <v>0</v>
      </c>
    </row>
    <row r="23" spans="1:9" s="18" customFormat="1" hidden="1" x14ac:dyDescent="0.25">
      <c r="A23" s="253" t="s">
        <v>31</v>
      </c>
      <c r="B23" s="158"/>
      <c r="C23" s="239">
        <f>B23*5.9%+B23</f>
        <v>0</v>
      </c>
      <c r="D23" s="239"/>
      <c r="E23" s="239"/>
      <c r="F23" s="239"/>
      <c r="G23" s="239"/>
      <c r="H23" s="239">
        <f>C23*5.6%+C23</f>
        <v>0</v>
      </c>
      <c r="I23" s="386">
        <f t="shared" si="4"/>
        <v>0</v>
      </c>
    </row>
    <row r="24" spans="1:9" s="134" customFormat="1" hidden="1" x14ac:dyDescent="0.25">
      <c r="A24" s="477"/>
      <c r="B24" s="246">
        <f>SUM(B22:B23)</f>
        <v>0</v>
      </c>
      <c r="C24" s="351">
        <f>SUM(C22:C23)</f>
        <v>0</v>
      </c>
      <c r="D24" s="351"/>
      <c r="E24" s="351"/>
      <c r="F24" s="351"/>
      <c r="G24" s="351"/>
      <c r="H24" s="351">
        <f>SUM(H22:H23)</f>
        <v>0</v>
      </c>
      <c r="I24" s="386">
        <f t="shared" si="4"/>
        <v>0</v>
      </c>
    </row>
    <row r="25" spans="1:9" s="18" customFormat="1" hidden="1" x14ac:dyDescent="0.25">
      <c r="A25" s="253"/>
      <c r="B25" s="158"/>
      <c r="C25" s="239"/>
      <c r="D25" s="239"/>
      <c r="E25" s="239"/>
      <c r="F25" s="239"/>
      <c r="G25" s="239"/>
      <c r="H25" s="239"/>
      <c r="I25" s="386">
        <f t="shared" si="4"/>
        <v>0</v>
      </c>
    </row>
    <row r="26" spans="1:9" s="18" customFormat="1" hidden="1" x14ac:dyDescent="0.25">
      <c r="A26" s="253" t="s">
        <v>249</v>
      </c>
      <c r="B26" s="158"/>
      <c r="C26" s="239">
        <f>B26*6.2%+B26</f>
        <v>0</v>
      </c>
      <c r="D26" s="239"/>
      <c r="E26" s="239"/>
      <c r="F26" s="239"/>
      <c r="G26" s="239"/>
      <c r="H26" s="239">
        <f>C26*5.9%+C26</f>
        <v>0</v>
      </c>
      <c r="I26" s="386">
        <f t="shared" si="4"/>
        <v>0</v>
      </c>
    </row>
    <row r="27" spans="1:9" s="18" customFormat="1" hidden="1" x14ac:dyDescent="0.25">
      <c r="A27" s="253" t="s">
        <v>64</v>
      </c>
      <c r="B27" s="158"/>
      <c r="C27" s="239">
        <f>B27*6.2%+B27</f>
        <v>0</v>
      </c>
      <c r="D27" s="239"/>
      <c r="E27" s="239"/>
      <c r="F27" s="239"/>
      <c r="G27" s="239"/>
      <c r="H27" s="239">
        <f>C27*5.9%+C27</f>
        <v>0</v>
      </c>
      <c r="I27" s="386">
        <f t="shared" si="4"/>
        <v>0</v>
      </c>
    </row>
    <row r="28" spans="1:9" s="18" customFormat="1" hidden="1" x14ac:dyDescent="0.25">
      <c r="A28" s="253" t="s">
        <v>22</v>
      </c>
      <c r="B28" s="158"/>
      <c r="C28" s="239">
        <f>B28*6.2%+B28</f>
        <v>0</v>
      </c>
      <c r="D28" s="239"/>
      <c r="E28" s="239"/>
      <c r="F28" s="239"/>
      <c r="G28" s="239"/>
      <c r="H28" s="239">
        <f>C28*5.9%+C28</f>
        <v>0</v>
      </c>
      <c r="I28" s="386">
        <f t="shared" si="4"/>
        <v>0</v>
      </c>
    </row>
    <row r="29" spans="1:9" s="18" customFormat="1" hidden="1" x14ac:dyDescent="0.25">
      <c r="A29" s="253" t="s">
        <v>23</v>
      </c>
      <c r="B29" s="158"/>
      <c r="C29" s="239">
        <f>B29*6.2%+B29</f>
        <v>0</v>
      </c>
      <c r="D29" s="239"/>
      <c r="E29" s="239"/>
      <c r="F29" s="239"/>
      <c r="G29" s="239"/>
      <c r="H29" s="239">
        <f>C29*5.9%+C29</f>
        <v>0</v>
      </c>
      <c r="I29" s="386">
        <f t="shared" si="4"/>
        <v>0</v>
      </c>
    </row>
    <row r="30" spans="1:9" s="18" customFormat="1" x14ac:dyDescent="0.25">
      <c r="A30" s="271" t="s">
        <v>57</v>
      </c>
      <c r="B30" s="158">
        <v>50000</v>
      </c>
      <c r="C30" s="239">
        <f>B30*4.5%+B30</f>
        <v>52250</v>
      </c>
      <c r="D30" s="239"/>
      <c r="E30" s="239">
        <f t="shared" ref="E30:E33" si="9">C30-D30</f>
        <v>52250</v>
      </c>
      <c r="F30" s="91">
        <v>-45000</v>
      </c>
      <c r="G30" s="239">
        <f t="shared" ref="G30:G33" si="10">C30+F30</f>
        <v>7250</v>
      </c>
      <c r="H30" s="239">
        <f>C30*6.25%+C30</f>
        <v>55515.625</v>
      </c>
      <c r="I30" s="386">
        <f>H30*6.25%+H30</f>
        <v>58985.3515625</v>
      </c>
    </row>
    <row r="31" spans="1:9" s="18" customFormat="1" x14ac:dyDescent="0.25">
      <c r="A31" s="271" t="s">
        <v>51</v>
      </c>
      <c r="B31" s="158">
        <v>50000</v>
      </c>
      <c r="C31" s="239">
        <v>200000</v>
      </c>
      <c r="D31" s="239">
        <v>86270</v>
      </c>
      <c r="E31" s="239">
        <f t="shared" si="9"/>
        <v>113730</v>
      </c>
      <c r="F31" s="91">
        <v>-50000</v>
      </c>
      <c r="G31" s="239">
        <f t="shared" si="10"/>
        <v>150000</v>
      </c>
      <c r="H31" s="239">
        <f>C31*6.25%+C31</f>
        <v>212500</v>
      </c>
      <c r="I31" s="386">
        <f>H31*6.25%+H31</f>
        <v>225781.25</v>
      </c>
    </row>
    <row r="32" spans="1:9" s="474" customFormat="1" ht="30" x14ac:dyDescent="0.25">
      <c r="A32" s="251" t="s">
        <v>714</v>
      </c>
      <c r="B32" s="158">
        <v>2000000</v>
      </c>
      <c r="C32" s="239">
        <v>3800000</v>
      </c>
      <c r="D32" s="239">
        <v>1874744</v>
      </c>
      <c r="E32" s="239">
        <f t="shared" si="9"/>
        <v>1925256</v>
      </c>
      <c r="F32" s="91">
        <v>0</v>
      </c>
      <c r="G32" s="239">
        <f t="shared" si="10"/>
        <v>3800000</v>
      </c>
      <c r="H32" s="239">
        <v>4100000</v>
      </c>
      <c r="I32" s="386">
        <v>4200000</v>
      </c>
    </row>
    <row r="33" spans="1:9" s="18" customFormat="1" x14ac:dyDescent="0.25">
      <c r="A33" s="253" t="s">
        <v>9</v>
      </c>
      <c r="B33" s="158"/>
      <c r="C33" s="239">
        <f>B15*6.25%+B15</f>
        <v>15511.4375</v>
      </c>
      <c r="D33" s="239">
        <v>8150</v>
      </c>
      <c r="E33" s="239">
        <f t="shared" si="9"/>
        <v>7361.4375</v>
      </c>
      <c r="F33" s="91">
        <v>0</v>
      </c>
      <c r="G33" s="239">
        <f t="shared" si="10"/>
        <v>15511.4375</v>
      </c>
      <c r="H33" s="239">
        <f>C33*6.25%+C33</f>
        <v>16480.90234375</v>
      </c>
      <c r="I33" s="386">
        <f>H33*6.25%+H33</f>
        <v>17510.958740234375</v>
      </c>
    </row>
    <row r="34" spans="1:9" s="134" customFormat="1" x14ac:dyDescent="0.25">
      <c r="A34" s="424" t="s">
        <v>42</v>
      </c>
      <c r="B34" s="246">
        <f>SUM(B26:B33)</f>
        <v>2100000</v>
      </c>
      <c r="C34" s="351">
        <f>SUM(C26:C33)</f>
        <v>4067761.4375</v>
      </c>
      <c r="D34" s="351">
        <f>SUM(D26:D33)</f>
        <v>1969164</v>
      </c>
      <c r="E34" s="351">
        <f>SUM(E26:E33)</f>
        <v>2098597.4375</v>
      </c>
      <c r="F34" s="351">
        <f t="shared" ref="F34:G34" si="11">SUM(F26:F33)</f>
        <v>-95000</v>
      </c>
      <c r="G34" s="351">
        <f t="shared" si="11"/>
        <v>3972761.4375</v>
      </c>
      <c r="H34" s="351">
        <f>SUM(H26:H33)</f>
        <v>4384496.52734375</v>
      </c>
      <c r="I34" s="387">
        <f>SUM(I26:I33)</f>
        <v>4502277.5603027344</v>
      </c>
    </row>
    <row r="35" spans="1:9" s="18" customFormat="1" x14ac:dyDescent="0.25">
      <c r="A35" s="425"/>
      <c r="B35" s="158"/>
      <c r="C35" s="239"/>
      <c r="D35" s="239"/>
      <c r="E35" s="239"/>
      <c r="F35" s="239"/>
      <c r="G35" s="239"/>
      <c r="H35" s="239"/>
      <c r="I35" s="386">
        <f t="shared" si="4"/>
        <v>0</v>
      </c>
    </row>
    <row r="36" spans="1:9" s="18" customFormat="1" ht="15.75" thickBot="1" x14ac:dyDescent="0.3">
      <c r="A36" s="426" t="s">
        <v>46</v>
      </c>
      <c r="B36" s="392">
        <f>B9+B16+B20+B24+B34</f>
        <v>4927779</v>
      </c>
      <c r="C36" s="422">
        <f>C9+C16+C20+C24+C34</f>
        <v>7190924.1875</v>
      </c>
      <c r="D36" s="422">
        <f>D9+D16+D20+D24+D34</f>
        <v>3943445</v>
      </c>
      <c r="E36" s="422">
        <f>E9+E16+E20+E24+E34</f>
        <v>3247479.1875</v>
      </c>
      <c r="F36" s="809">
        <f t="shared" ref="F36:G36" si="12">F9+F16+F20+F24+F34</f>
        <v>260140</v>
      </c>
      <c r="G36" s="422">
        <f t="shared" si="12"/>
        <v>7451064.1875</v>
      </c>
      <c r="H36" s="422">
        <f>H9+H16+H20+H24+H34</f>
        <v>7702989.5492187496</v>
      </c>
      <c r="I36" s="393">
        <f>I9+I16+I20+I24+I34</f>
        <v>8028318.1454449221</v>
      </c>
    </row>
  </sheetData>
  <pageMargins left="0.74803149606299213" right="0.74803149606299213" top="0.98425196850393704" bottom="0.98425196850393704" header="0.51181102362204722" footer="0.51181102362204722"/>
  <pageSetup scale="77" orientation="landscape" r:id="rId1"/>
  <headerFooter alignWithMargins="0">
    <oddFooter>&amp;A&amp;RPage &amp;P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39"/>
  <sheetViews>
    <sheetView view="pageBreakPreview" topLeftCell="A10" zoomScale="90" zoomScaleNormal="70" zoomScaleSheetLayoutView="90" workbookViewId="0">
      <selection activeCell="F39" sqref="F39"/>
    </sheetView>
  </sheetViews>
  <sheetFormatPr defaultColWidth="9.28515625" defaultRowHeight="15" x14ac:dyDescent="0.25"/>
  <cols>
    <col min="1" max="1" width="31" style="352" customWidth="1"/>
    <col min="2" max="2" width="0.140625" style="247" customWidth="1"/>
    <col min="3" max="8" width="16.7109375" style="247" customWidth="1"/>
    <col min="9" max="9" width="14.7109375" style="352" customWidth="1"/>
    <col min="10" max="16384" width="9.28515625" style="19"/>
  </cols>
  <sheetData>
    <row r="1" spans="1:9" ht="18.75" x14ac:dyDescent="0.3">
      <c r="A1" s="519" t="s">
        <v>546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s="18" customFormat="1" ht="48" customHeight="1" thickBot="1" x14ac:dyDescent="0.3">
      <c r="A3" s="521" t="s">
        <v>39</v>
      </c>
      <c r="B3" s="384" t="s">
        <v>393</v>
      </c>
      <c r="C3" s="384" t="s">
        <v>442</v>
      </c>
      <c r="D3" s="604" t="s">
        <v>800</v>
      </c>
      <c r="E3" s="714" t="s">
        <v>87</v>
      </c>
      <c r="F3" s="384" t="s">
        <v>164</v>
      </c>
      <c r="G3" s="605" t="s">
        <v>789</v>
      </c>
      <c r="H3" s="384" t="s">
        <v>556</v>
      </c>
      <c r="I3" s="408" t="s">
        <v>644</v>
      </c>
    </row>
    <row r="4" spans="1:9" s="469" customFormat="1" x14ac:dyDescent="0.25">
      <c r="A4" s="522" t="s">
        <v>2</v>
      </c>
      <c r="B4" s="358">
        <v>3868336</v>
      </c>
      <c r="C4" s="239">
        <f>B4*6.25%+B4</f>
        <v>4110107</v>
      </c>
      <c r="D4" s="239">
        <v>1788936</v>
      </c>
      <c r="E4" s="239">
        <f>C4-D4</f>
        <v>2321171</v>
      </c>
      <c r="F4" s="91">
        <v>-250000</v>
      </c>
      <c r="G4" s="239">
        <f>C4+F4</f>
        <v>3860107</v>
      </c>
      <c r="H4" s="239">
        <f>C4*6.25%+C4</f>
        <v>4366988.6875</v>
      </c>
      <c r="I4" s="386">
        <f>H4*6.25%+H4</f>
        <v>4639925.48046875</v>
      </c>
    </row>
    <row r="5" spans="1:9" s="469" customFormat="1" x14ac:dyDescent="0.25">
      <c r="A5" s="253" t="s">
        <v>3</v>
      </c>
      <c r="B5" s="158">
        <v>322361</v>
      </c>
      <c r="C5" s="239">
        <f t="shared" ref="C5:I8" si="0">B5*6.25%+B5</f>
        <v>342508.5625</v>
      </c>
      <c r="D5" s="239">
        <v>125148</v>
      </c>
      <c r="E5" s="239">
        <f t="shared" ref="E5:E8" si="1">C5-D5</f>
        <v>217360.5625</v>
      </c>
      <c r="F5" s="91">
        <v>-60000</v>
      </c>
      <c r="G5" s="239">
        <f t="shared" ref="G5:G8" si="2">C5+F5</f>
        <v>282508.5625</v>
      </c>
      <c r="H5" s="239">
        <f>C5*6.25%+C5</f>
        <v>363915.34765625</v>
      </c>
      <c r="I5" s="386">
        <f t="shared" si="0"/>
        <v>386660.05688476563</v>
      </c>
    </row>
    <row r="6" spans="1:9" s="469" customFormat="1" x14ac:dyDescent="0.25">
      <c r="A6" s="253" t="s">
        <v>4</v>
      </c>
      <c r="B6" s="158">
        <v>76800</v>
      </c>
      <c r="C6" s="239">
        <f t="shared" si="0"/>
        <v>81600</v>
      </c>
      <c r="D6" s="239">
        <v>10610</v>
      </c>
      <c r="E6" s="239">
        <f t="shared" si="1"/>
        <v>70990</v>
      </c>
      <c r="F6" s="91">
        <v>-50000</v>
      </c>
      <c r="G6" s="239">
        <f t="shared" si="2"/>
        <v>31600</v>
      </c>
      <c r="H6" s="239">
        <f>C6*6.25%+C6</f>
        <v>86700</v>
      </c>
      <c r="I6" s="386">
        <f t="shared" si="0"/>
        <v>92118.75</v>
      </c>
    </row>
    <row r="7" spans="1:9" s="469" customFormat="1" x14ac:dyDescent="0.25">
      <c r="A7" s="253" t="s">
        <v>173</v>
      </c>
      <c r="B7" s="158"/>
      <c r="C7" s="239">
        <v>276110</v>
      </c>
      <c r="D7" s="239">
        <v>74751</v>
      </c>
      <c r="E7" s="239">
        <f t="shared" si="1"/>
        <v>201359</v>
      </c>
      <c r="F7" s="91">
        <v>0</v>
      </c>
      <c r="G7" s="239">
        <f t="shared" si="2"/>
        <v>276110</v>
      </c>
      <c r="H7" s="239">
        <f>C7*6.25%+C7</f>
        <v>293366.875</v>
      </c>
      <c r="I7" s="386">
        <f>H7*6.25%+H7</f>
        <v>311702.3046875</v>
      </c>
    </row>
    <row r="8" spans="1:9" s="469" customFormat="1" x14ac:dyDescent="0.25">
      <c r="A8" s="253" t="s">
        <v>5</v>
      </c>
      <c r="B8" s="158">
        <v>1296935</v>
      </c>
      <c r="C8" s="239">
        <f t="shared" si="0"/>
        <v>1377993.4375</v>
      </c>
      <c r="D8" s="239">
        <v>588056</v>
      </c>
      <c r="E8" s="239">
        <f t="shared" si="1"/>
        <v>789937.4375</v>
      </c>
      <c r="F8" s="91">
        <v>-150000</v>
      </c>
      <c r="G8" s="239">
        <f t="shared" si="2"/>
        <v>1227993.4375</v>
      </c>
      <c r="H8" s="239">
        <f>C8*6.25%+C8</f>
        <v>1464118.02734375</v>
      </c>
      <c r="I8" s="386">
        <f t="shared" si="0"/>
        <v>1555625.4040527344</v>
      </c>
    </row>
    <row r="9" spans="1:9" s="472" customFormat="1" x14ac:dyDescent="0.25">
      <c r="A9" s="424" t="s">
        <v>40</v>
      </c>
      <c r="B9" s="246">
        <f>SUM(B4:B8)</f>
        <v>5564432</v>
      </c>
      <c r="C9" s="351">
        <f>SUM(C4:C8)</f>
        <v>6188319</v>
      </c>
      <c r="D9" s="351">
        <f>SUM(D4:D8)</f>
        <v>2587501</v>
      </c>
      <c r="E9" s="351">
        <f>SUM(E4:E8)</f>
        <v>3600818</v>
      </c>
      <c r="F9" s="351">
        <f t="shared" ref="F9:G9" si="3">SUM(F4:F8)</f>
        <v>-510000</v>
      </c>
      <c r="G9" s="351">
        <f t="shared" si="3"/>
        <v>5678319</v>
      </c>
      <c r="H9" s="351">
        <f>SUM(H4:H8)</f>
        <v>6575088.9375</v>
      </c>
      <c r="I9" s="387">
        <f>SUM(I4:I8)</f>
        <v>6986031.99609375</v>
      </c>
    </row>
    <row r="10" spans="1:9" s="469" customFormat="1" x14ac:dyDescent="0.25">
      <c r="A10" s="253"/>
      <c r="B10" s="158"/>
      <c r="C10" s="239"/>
      <c r="D10" s="239"/>
      <c r="E10" s="239"/>
      <c r="F10" s="239"/>
      <c r="G10" s="239"/>
      <c r="H10" s="158"/>
      <c r="I10" s="386">
        <f t="shared" ref="I10:I38" si="4">H10*6.9%+H10</f>
        <v>0</v>
      </c>
    </row>
    <row r="11" spans="1:9" s="469" customFormat="1" x14ac:dyDescent="0.25">
      <c r="A11" s="253" t="s">
        <v>6</v>
      </c>
      <c r="B11" s="158">
        <v>371616</v>
      </c>
      <c r="C11" s="239">
        <f>B11*6.25%+B11</f>
        <v>394842</v>
      </c>
      <c r="D11" s="239">
        <v>126196</v>
      </c>
      <c r="E11" s="239">
        <f t="shared" ref="E11:E14" si="5">C11-D11</f>
        <v>268646</v>
      </c>
      <c r="F11" s="91">
        <v>-100000</v>
      </c>
      <c r="G11" s="239">
        <f t="shared" ref="G11:G15" si="6">C11+F11</f>
        <v>294842</v>
      </c>
      <c r="H11" s="239">
        <f>C11*6.25%+C11</f>
        <v>419519.625</v>
      </c>
      <c r="I11" s="386">
        <f>H11*6.25%+H11</f>
        <v>445739.6015625</v>
      </c>
    </row>
    <row r="12" spans="1:9" s="469" customFormat="1" x14ac:dyDescent="0.25">
      <c r="A12" s="253" t="s">
        <v>7</v>
      </c>
      <c r="B12" s="158">
        <v>38683</v>
      </c>
      <c r="C12" s="239">
        <f t="shared" ref="C12:I13" si="7">B12*6.25%+B12</f>
        <v>41100.6875</v>
      </c>
      <c r="D12" s="239">
        <v>5205</v>
      </c>
      <c r="E12" s="239">
        <f t="shared" si="5"/>
        <v>35895.6875</v>
      </c>
      <c r="F12" s="91">
        <v>-20000</v>
      </c>
      <c r="G12" s="239">
        <f t="shared" si="6"/>
        <v>21100.6875</v>
      </c>
      <c r="H12" s="239">
        <f>C12*6.25%+C12</f>
        <v>43669.48046875</v>
      </c>
      <c r="I12" s="386">
        <f t="shared" si="7"/>
        <v>46398.822998046875</v>
      </c>
    </row>
    <row r="13" spans="1:9" s="469" customFormat="1" x14ac:dyDescent="0.25">
      <c r="A13" s="253" t="s">
        <v>53</v>
      </c>
      <c r="B13" s="158">
        <v>851034</v>
      </c>
      <c r="C13" s="239">
        <f t="shared" si="7"/>
        <v>904223.625</v>
      </c>
      <c r="D13" s="239">
        <v>304038</v>
      </c>
      <c r="E13" s="239">
        <f t="shared" si="5"/>
        <v>600185.625</v>
      </c>
      <c r="F13" s="91">
        <v>-200000</v>
      </c>
      <c r="G13" s="239">
        <f t="shared" si="6"/>
        <v>704223.625</v>
      </c>
      <c r="H13" s="239">
        <f>C13*6.25%+C13</f>
        <v>960737.6015625</v>
      </c>
      <c r="I13" s="386">
        <f t="shared" si="7"/>
        <v>1020783.7016601563</v>
      </c>
    </row>
    <row r="14" spans="1:9" s="93" customFormat="1" x14ac:dyDescent="0.25">
      <c r="A14" s="96" t="s">
        <v>396</v>
      </c>
      <c r="B14" s="91"/>
      <c r="C14" s="176">
        <v>34200</v>
      </c>
      <c r="D14" s="176">
        <v>0</v>
      </c>
      <c r="E14" s="239">
        <f t="shared" si="5"/>
        <v>34200</v>
      </c>
      <c r="F14" s="91">
        <v>-34200</v>
      </c>
      <c r="G14" s="239">
        <f t="shared" si="6"/>
        <v>0</v>
      </c>
      <c r="H14" s="176">
        <v>36559.800000000003</v>
      </c>
      <c r="I14" s="404">
        <v>39082.426200000002</v>
      </c>
    </row>
    <row r="15" spans="1:9" s="469" customFormat="1" x14ac:dyDescent="0.25">
      <c r="A15" s="785" t="s">
        <v>872</v>
      </c>
      <c r="B15" s="158">
        <v>42795</v>
      </c>
      <c r="C15" s="752">
        <v>0</v>
      </c>
      <c r="D15" s="752">
        <v>0</v>
      </c>
      <c r="E15" s="752"/>
      <c r="F15" s="752">
        <v>540</v>
      </c>
      <c r="G15" s="158">
        <f t="shared" si="6"/>
        <v>540</v>
      </c>
      <c r="H15" s="752">
        <v>0</v>
      </c>
      <c r="I15" s="752">
        <v>0</v>
      </c>
    </row>
    <row r="16" spans="1:9" s="472" customFormat="1" x14ac:dyDescent="0.25">
      <c r="A16" s="424" t="s">
        <v>41</v>
      </c>
      <c r="B16" s="246">
        <f>SUM(B11:B15)</f>
        <v>1304128</v>
      </c>
      <c r="C16" s="351">
        <f>SUM(C11:C15)</f>
        <v>1374366.3125</v>
      </c>
      <c r="D16" s="351">
        <f>SUM(D11:D15)</f>
        <v>435439</v>
      </c>
      <c r="E16" s="351">
        <f>SUM(E11:E15)</f>
        <v>938927.3125</v>
      </c>
      <c r="F16" s="351">
        <f t="shared" ref="F16:G16" si="8">SUM(F11:F15)</f>
        <v>-353660</v>
      </c>
      <c r="G16" s="351">
        <f t="shared" si="8"/>
        <v>1020706.3125</v>
      </c>
      <c r="H16" s="351">
        <f>SUM(H11:H15)</f>
        <v>1460486.50703125</v>
      </c>
      <c r="I16" s="351">
        <f>SUM(I11:I15)</f>
        <v>1552004.5524207032</v>
      </c>
    </row>
    <row r="17" spans="1:9" s="472" customFormat="1" x14ac:dyDescent="0.25">
      <c r="A17" s="477"/>
      <c r="B17" s="246"/>
      <c r="C17" s="351"/>
      <c r="D17" s="351"/>
      <c r="E17" s="351"/>
      <c r="F17" s="351"/>
      <c r="G17" s="351"/>
      <c r="H17" s="351"/>
      <c r="I17" s="351"/>
    </row>
    <row r="18" spans="1:9" s="134" customFormat="1" x14ac:dyDescent="0.25">
      <c r="A18" s="477"/>
      <c r="B18" s="246"/>
      <c r="C18" s="351"/>
      <c r="D18" s="351"/>
      <c r="E18" s="351"/>
      <c r="F18" s="351"/>
      <c r="G18" s="351"/>
      <c r="H18" s="246"/>
      <c r="I18" s="386">
        <f t="shared" si="4"/>
        <v>0</v>
      </c>
    </row>
    <row r="19" spans="1:9" hidden="1" x14ac:dyDescent="0.25">
      <c r="A19" s="253" t="s">
        <v>211</v>
      </c>
      <c r="B19" s="160"/>
      <c r="C19" s="239">
        <f>B19*5.9%+B19</f>
        <v>0</v>
      </c>
      <c r="D19" s="239"/>
      <c r="E19" s="239"/>
      <c r="F19" s="239"/>
      <c r="G19" s="239"/>
      <c r="H19" s="158">
        <f>C19*5.6%+C19</f>
        <v>0</v>
      </c>
      <c r="I19" s="386">
        <f t="shared" si="4"/>
        <v>0</v>
      </c>
    </row>
    <row r="20" spans="1:9" hidden="1" x14ac:dyDescent="0.25">
      <c r="A20" s="477"/>
      <c r="B20" s="246">
        <f>B19</f>
        <v>0</v>
      </c>
      <c r="C20" s="351">
        <f>C19</f>
        <v>0</v>
      </c>
      <c r="D20" s="351"/>
      <c r="E20" s="351"/>
      <c r="F20" s="351"/>
      <c r="G20" s="351"/>
      <c r="H20" s="246">
        <f>H19</f>
        <v>0</v>
      </c>
      <c r="I20" s="386">
        <f t="shared" si="4"/>
        <v>0</v>
      </c>
    </row>
    <row r="21" spans="1:9" s="18" customFormat="1" hidden="1" x14ac:dyDescent="0.25">
      <c r="A21" s="253"/>
      <c r="B21" s="158"/>
      <c r="C21" s="239"/>
      <c r="D21" s="239"/>
      <c r="E21" s="239"/>
      <c r="F21" s="239"/>
      <c r="G21" s="239"/>
      <c r="H21" s="158"/>
      <c r="I21" s="386">
        <f t="shared" si="4"/>
        <v>0</v>
      </c>
    </row>
    <row r="22" spans="1:9" s="18" customFormat="1" hidden="1" x14ac:dyDescent="0.25">
      <c r="A22" s="253" t="s">
        <v>20</v>
      </c>
      <c r="B22" s="158"/>
      <c r="C22" s="239">
        <f>B22*5.9%+B22</f>
        <v>0</v>
      </c>
      <c r="D22" s="239"/>
      <c r="E22" s="239"/>
      <c r="F22" s="239"/>
      <c r="G22" s="239"/>
      <c r="H22" s="158">
        <f>C22*5.6%+C22</f>
        <v>0</v>
      </c>
      <c r="I22" s="386">
        <f t="shared" si="4"/>
        <v>0</v>
      </c>
    </row>
    <row r="23" spans="1:9" s="18" customFormat="1" hidden="1" x14ac:dyDescent="0.25">
      <c r="A23" s="253" t="s">
        <v>31</v>
      </c>
      <c r="B23" s="158"/>
      <c r="C23" s="239">
        <f>B23*5.9%+B23</f>
        <v>0</v>
      </c>
      <c r="D23" s="239"/>
      <c r="E23" s="239"/>
      <c r="F23" s="239"/>
      <c r="G23" s="239"/>
      <c r="H23" s="158">
        <f>C23*5.6%+C23</f>
        <v>0</v>
      </c>
      <c r="I23" s="386">
        <f t="shared" si="4"/>
        <v>0</v>
      </c>
    </row>
    <row r="24" spans="1:9" s="134" customFormat="1" hidden="1" x14ac:dyDescent="0.25">
      <c r="A24" s="477"/>
      <c r="B24" s="246">
        <f>SUM(B22:B23)</f>
        <v>0</v>
      </c>
      <c r="C24" s="351">
        <f>SUM(C22:C23)</f>
        <v>0</v>
      </c>
      <c r="D24" s="351"/>
      <c r="E24" s="351"/>
      <c r="F24" s="351"/>
      <c r="G24" s="351"/>
      <c r="H24" s="246">
        <f>SUM(H22:H23)</f>
        <v>0</v>
      </c>
      <c r="I24" s="386">
        <f t="shared" si="4"/>
        <v>0</v>
      </c>
    </row>
    <row r="25" spans="1:9" s="18" customFormat="1" hidden="1" x14ac:dyDescent="0.25">
      <c r="A25" s="253"/>
      <c r="B25" s="158"/>
      <c r="C25" s="239"/>
      <c r="D25" s="239"/>
      <c r="E25" s="239"/>
      <c r="F25" s="239"/>
      <c r="G25" s="239"/>
      <c r="H25" s="158"/>
      <c r="I25" s="386">
        <f t="shared" si="4"/>
        <v>0</v>
      </c>
    </row>
    <row r="26" spans="1:9" s="18" customFormat="1" hidden="1" x14ac:dyDescent="0.25">
      <c r="A26" s="253" t="s">
        <v>249</v>
      </c>
      <c r="B26" s="158"/>
      <c r="C26" s="239">
        <f>B26*6.2%+B26</f>
        <v>0</v>
      </c>
      <c r="D26" s="239"/>
      <c r="E26" s="239"/>
      <c r="F26" s="239"/>
      <c r="G26" s="239"/>
      <c r="H26" s="158">
        <f>C26*5.9%+C26</f>
        <v>0</v>
      </c>
      <c r="I26" s="386">
        <f t="shared" si="4"/>
        <v>0</v>
      </c>
    </row>
    <row r="27" spans="1:9" s="18" customFormat="1" hidden="1" x14ac:dyDescent="0.25">
      <c r="A27" s="253" t="s">
        <v>64</v>
      </c>
      <c r="B27" s="158"/>
      <c r="C27" s="239">
        <f t="shared" ref="C27:C34" si="9">B27*6.2%+B27</f>
        <v>0</v>
      </c>
      <c r="D27" s="239"/>
      <c r="E27" s="239"/>
      <c r="F27" s="239"/>
      <c r="G27" s="239"/>
      <c r="H27" s="158">
        <f t="shared" ref="H27:H34" si="10">C27*5.9%+C27</f>
        <v>0</v>
      </c>
      <c r="I27" s="386">
        <f t="shared" si="4"/>
        <v>0</v>
      </c>
    </row>
    <row r="28" spans="1:9" s="18" customFormat="1" hidden="1" x14ac:dyDescent="0.25">
      <c r="A28" s="253" t="s">
        <v>22</v>
      </c>
      <c r="B28" s="158"/>
      <c r="C28" s="239">
        <f t="shared" si="9"/>
        <v>0</v>
      </c>
      <c r="D28" s="239"/>
      <c r="E28" s="239"/>
      <c r="F28" s="239"/>
      <c r="G28" s="239"/>
      <c r="H28" s="158">
        <f t="shared" si="10"/>
        <v>0</v>
      </c>
      <c r="I28" s="386">
        <f t="shared" si="4"/>
        <v>0</v>
      </c>
    </row>
    <row r="29" spans="1:9" s="18" customFormat="1" hidden="1" x14ac:dyDescent="0.25">
      <c r="A29" s="253" t="s">
        <v>23</v>
      </c>
      <c r="B29" s="158"/>
      <c r="C29" s="239">
        <f t="shared" si="9"/>
        <v>0</v>
      </c>
      <c r="D29" s="239"/>
      <c r="E29" s="239"/>
      <c r="F29" s="239"/>
      <c r="G29" s="239"/>
      <c r="H29" s="158">
        <f t="shared" si="10"/>
        <v>0</v>
      </c>
      <c r="I29" s="386">
        <f t="shared" si="4"/>
        <v>0</v>
      </c>
    </row>
    <row r="30" spans="1:9" s="18" customFormat="1" x14ac:dyDescent="0.25">
      <c r="A30" s="271" t="s">
        <v>57</v>
      </c>
      <c r="B30" s="158">
        <v>50000</v>
      </c>
      <c r="C30" s="239">
        <f>B30*4.5%+B30</f>
        <v>52250</v>
      </c>
      <c r="D30" s="239">
        <v>72070</v>
      </c>
      <c r="E30" s="239">
        <f t="shared" ref="E30:E32" si="11">C30-D30</f>
        <v>-19820</v>
      </c>
      <c r="F30" s="91">
        <v>50000</v>
      </c>
      <c r="G30" s="239">
        <f t="shared" ref="G30:G32" si="12">C30+F30</f>
        <v>102250</v>
      </c>
      <c r="H30" s="239">
        <f>C30*6.25%+C30</f>
        <v>55515.625</v>
      </c>
      <c r="I30" s="386">
        <f>H30*6.25%+H30</f>
        <v>58985.3515625</v>
      </c>
    </row>
    <row r="31" spans="1:9" s="18" customFormat="1" x14ac:dyDescent="0.25">
      <c r="A31" s="253" t="s">
        <v>9</v>
      </c>
      <c r="B31" s="158"/>
      <c r="C31" s="239">
        <v>45469.6875</v>
      </c>
      <c r="D31" s="239">
        <v>22057</v>
      </c>
      <c r="E31" s="239">
        <f t="shared" si="11"/>
        <v>23412.6875</v>
      </c>
      <c r="F31" s="91">
        <v>0</v>
      </c>
      <c r="G31" s="239">
        <f t="shared" si="12"/>
        <v>45469.6875</v>
      </c>
      <c r="H31" s="239">
        <f>C31*6.25%+C31</f>
        <v>48311.54296875</v>
      </c>
      <c r="I31" s="386">
        <f>H31*6.25%+H31</f>
        <v>51331.014404296875</v>
      </c>
    </row>
    <row r="32" spans="1:9" s="18" customFormat="1" x14ac:dyDescent="0.25">
      <c r="A32" s="271" t="s">
        <v>51</v>
      </c>
      <c r="B32" s="158">
        <f>200000/2</f>
        <v>100000</v>
      </c>
      <c r="C32" s="239">
        <f>B32*4.5%+B32</f>
        <v>104500</v>
      </c>
      <c r="D32" s="239">
        <v>260</v>
      </c>
      <c r="E32" s="239">
        <f t="shared" si="11"/>
        <v>104240</v>
      </c>
      <c r="F32" s="91">
        <v>-30000</v>
      </c>
      <c r="G32" s="239">
        <f t="shared" si="12"/>
        <v>74500</v>
      </c>
      <c r="H32" s="239">
        <f>C32*6.25%+C32</f>
        <v>111031.25</v>
      </c>
      <c r="I32" s="386">
        <f t="shared" ref="C32:I33" si="13">H32*6.25%+H32</f>
        <v>117970.703125</v>
      </c>
    </row>
    <row r="33" spans="1:9" s="18" customFormat="1" hidden="1" x14ac:dyDescent="0.25">
      <c r="A33" s="271" t="s">
        <v>397</v>
      </c>
      <c r="B33" s="158"/>
      <c r="C33" s="239">
        <f t="shared" si="13"/>
        <v>0</v>
      </c>
      <c r="D33" s="239"/>
      <c r="E33" s="239"/>
      <c r="F33" s="239"/>
      <c r="G33" s="239"/>
      <c r="H33" s="239">
        <f>C33*6.25%+C33</f>
        <v>0</v>
      </c>
      <c r="I33" s="386">
        <f t="shared" si="13"/>
        <v>0</v>
      </c>
    </row>
    <row r="34" spans="1:9" s="18" customFormat="1" hidden="1" x14ac:dyDescent="0.25">
      <c r="A34" s="271" t="s">
        <v>27</v>
      </c>
      <c r="B34" s="158"/>
      <c r="C34" s="239">
        <f t="shared" si="9"/>
        <v>0</v>
      </c>
      <c r="D34" s="239"/>
      <c r="E34" s="239"/>
      <c r="F34" s="239"/>
      <c r="G34" s="239"/>
      <c r="H34" s="158">
        <f t="shared" si="10"/>
        <v>0</v>
      </c>
      <c r="I34" s="386">
        <f t="shared" si="4"/>
        <v>0</v>
      </c>
    </row>
    <row r="35" spans="1:9" s="18" customFormat="1" hidden="1" x14ac:dyDescent="0.25">
      <c r="A35" s="271" t="s">
        <v>287</v>
      </c>
      <c r="B35" s="158"/>
      <c r="C35" s="239"/>
      <c r="D35" s="239"/>
      <c r="E35" s="239"/>
      <c r="F35" s="239"/>
      <c r="G35" s="239"/>
      <c r="H35" s="158"/>
      <c r="I35" s="386">
        <f t="shared" si="4"/>
        <v>0</v>
      </c>
    </row>
    <row r="36" spans="1:9" s="18" customFormat="1" ht="45" hidden="1" x14ac:dyDescent="0.25">
      <c r="A36" s="353" t="s">
        <v>366</v>
      </c>
      <c r="B36" s="158"/>
      <c r="C36" s="239">
        <f>B36*5.9%+B36</f>
        <v>0</v>
      </c>
      <c r="D36" s="239"/>
      <c r="E36" s="239"/>
      <c r="F36" s="239"/>
      <c r="G36" s="239"/>
      <c r="H36" s="158">
        <v>0</v>
      </c>
      <c r="I36" s="386">
        <f t="shared" si="4"/>
        <v>0</v>
      </c>
    </row>
    <row r="37" spans="1:9" s="134" customFormat="1" x14ac:dyDescent="0.25">
      <c r="A37" s="424" t="s">
        <v>42</v>
      </c>
      <c r="B37" s="246">
        <f>SUM(B26:B36)</f>
        <v>150000</v>
      </c>
      <c r="C37" s="351">
        <f>SUM(C26:C36)</f>
        <v>202219.6875</v>
      </c>
      <c r="D37" s="351">
        <f t="shared" ref="D37:I37" si="14">SUM(D26:D36)</f>
        <v>94387</v>
      </c>
      <c r="E37" s="351">
        <f t="shared" si="14"/>
        <v>107832.6875</v>
      </c>
      <c r="F37" s="351">
        <f t="shared" si="14"/>
        <v>20000</v>
      </c>
      <c r="G37" s="351">
        <f t="shared" si="14"/>
        <v>222219.6875</v>
      </c>
      <c r="H37" s="351">
        <f t="shared" si="14"/>
        <v>214858.41796875</v>
      </c>
      <c r="I37" s="351">
        <f t="shared" si="14"/>
        <v>228287.06909179688</v>
      </c>
    </row>
    <row r="38" spans="1:9" s="18" customFormat="1" x14ac:dyDescent="0.25">
      <c r="A38" s="425"/>
      <c r="B38" s="158"/>
      <c r="C38" s="239"/>
      <c r="D38" s="239"/>
      <c r="E38" s="239"/>
      <c r="F38" s="239"/>
      <c r="G38" s="239"/>
      <c r="H38" s="158"/>
      <c r="I38" s="386">
        <f t="shared" si="4"/>
        <v>0</v>
      </c>
    </row>
    <row r="39" spans="1:9" s="18" customFormat="1" ht="15.75" thickBot="1" x14ac:dyDescent="0.3">
      <c r="A39" s="426" t="s">
        <v>46</v>
      </c>
      <c r="B39" s="392">
        <f>B9+B16+B20+B24+B37</f>
        <v>7018560</v>
      </c>
      <c r="C39" s="422">
        <f>C9+C16+C20+C24+C37</f>
        <v>7764905</v>
      </c>
      <c r="D39" s="422">
        <f>D9+D16+D20+D24+D37</f>
        <v>3117327</v>
      </c>
      <c r="E39" s="422">
        <f>E9+E16+E20+E24+E37</f>
        <v>4647578</v>
      </c>
      <c r="F39" s="422">
        <f t="shared" ref="F39:G39" si="15">F9+F16+F20+F24+F37</f>
        <v>-843660</v>
      </c>
      <c r="G39" s="422">
        <f t="shared" si="15"/>
        <v>6921245</v>
      </c>
      <c r="H39" s="422">
        <f>H9+H16+H20+H24+H37</f>
        <v>8250433.8624999998</v>
      </c>
      <c r="I39" s="393">
        <f>I9+I16+I20+I24+I37</f>
        <v>8766323.6176062506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2" orientation="landscape" r:id="rId1"/>
  <headerFooter alignWithMargins="0">
    <oddFooter>&amp;A&amp;RPage &amp;P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topLeftCell="A15" zoomScaleNormal="100" zoomScaleSheetLayoutView="100" workbookViewId="0">
      <selection activeCell="F26" sqref="F26"/>
    </sheetView>
  </sheetViews>
  <sheetFormatPr defaultColWidth="9.28515625" defaultRowHeight="15" x14ac:dyDescent="0.25"/>
  <cols>
    <col min="1" max="1" width="43.28515625" style="272" customWidth="1"/>
    <col min="2" max="2" width="18.140625" style="243" hidden="1" customWidth="1"/>
    <col min="3" max="7" width="14.42578125" style="243" customWidth="1"/>
    <col min="8" max="8" width="15" style="243" customWidth="1"/>
    <col min="9" max="9" width="13.7109375" style="352" customWidth="1"/>
    <col min="10" max="16384" width="9.28515625" style="97"/>
  </cols>
  <sheetData>
    <row r="1" spans="1:9" ht="18.75" x14ac:dyDescent="0.3">
      <c r="A1" s="515" t="s">
        <v>557</v>
      </c>
      <c r="B1" s="363"/>
      <c r="C1" s="363"/>
      <c r="D1" s="363"/>
      <c r="E1" s="363"/>
      <c r="F1" s="363"/>
      <c r="G1" s="363"/>
      <c r="H1" s="363"/>
    </row>
    <row r="2" spans="1:9" ht="16.5" thickBot="1" x14ac:dyDescent="0.3">
      <c r="A2" s="520"/>
      <c r="B2" s="364"/>
      <c r="C2" s="364"/>
      <c r="D2" s="364"/>
      <c r="E2" s="364"/>
      <c r="F2" s="364"/>
      <c r="G2" s="364"/>
      <c r="H2" s="364"/>
    </row>
    <row r="3" spans="1:9" ht="39.75" customHeight="1" thickBot="1" x14ac:dyDescent="0.3">
      <c r="A3" s="521" t="s">
        <v>39</v>
      </c>
      <c r="B3" s="384" t="s">
        <v>393</v>
      </c>
      <c r="C3" s="384" t="s">
        <v>442</v>
      </c>
      <c r="D3" s="604" t="s">
        <v>800</v>
      </c>
      <c r="E3" s="714" t="s">
        <v>87</v>
      </c>
      <c r="F3" s="384" t="s">
        <v>164</v>
      </c>
      <c r="G3" s="605" t="s">
        <v>789</v>
      </c>
      <c r="H3" s="384" t="s">
        <v>556</v>
      </c>
      <c r="I3" s="408" t="s">
        <v>644</v>
      </c>
    </row>
    <row r="4" spans="1:9" s="475" customFormat="1" x14ac:dyDescent="0.25">
      <c r="A4" s="253" t="s">
        <v>2</v>
      </c>
      <c r="B4" s="158">
        <v>1029704</v>
      </c>
      <c r="C4" s="158">
        <f>B4*6.25%+B4</f>
        <v>1094060.5</v>
      </c>
      <c r="D4" s="158">
        <v>660450</v>
      </c>
      <c r="E4" s="158">
        <f>C4-D4</f>
        <v>433610.5</v>
      </c>
      <c r="F4" s="91"/>
      <c r="G4" s="158">
        <f>C4+F4</f>
        <v>1094060.5</v>
      </c>
      <c r="H4" s="158">
        <f>C4*6.25%+C4</f>
        <v>1162439.28125</v>
      </c>
      <c r="I4" s="386">
        <f>H4*6.25%+H4</f>
        <v>1235091.736328125</v>
      </c>
    </row>
    <row r="5" spans="1:9" s="475" customFormat="1" x14ac:dyDescent="0.25">
      <c r="A5" s="253" t="s">
        <v>3</v>
      </c>
      <c r="B5" s="158">
        <v>85809</v>
      </c>
      <c r="C5" s="158">
        <f>B5*6.25%+B5</f>
        <v>91172.0625</v>
      </c>
      <c r="D5" s="158"/>
      <c r="E5" s="158">
        <f t="shared" ref="E5:E8" si="0">C5-D5</f>
        <v>91172.0625</v>
      </c>
      <c r="F5" s="91">
        <v>0</v>
      </c>
      <c r="G5" s="158">
        <f t="shared" ref="G5:G8" si="1">C5+F5</f>
        <v>91172.0625</v>
      </c>
      <c r="H5" s="158">
        <f>C5*6.25%+C5</f>
        <v>96870.31640625</v>
      </c>
      <c r="I5" s="386">
        <f t="shared" ref="I5:I8" si="2">H5*6.25%+H5</f>
        <v>102924.71118164063</v>
      </c>
    </row>
    <row r="6" spans="1:9" s="475" customFormat="1" x14ac:dyDescent="0.25">
      <c r="A6" s="253" t="s">
        <v>4</v>
      </c>
      <c r="B6" s="158">
        <v>9600</v>
      </c>
      <c r="C6" s="158">
        <f>B6*6.25%+B6</f>
        <v>10200</v>
      </c>
      <c r="D6" s="158">
        <v>5787</v>
      </c>
      <c r="E6" s="158">
        <f t="shared" si="0"/>
        <v>4413</v>
      </c>
      <c r="F6" s="91">
        <v>0</v>
      </c>
      <c r="G6" s="158">
        <f t="shared" si="1"/>
        <v>10200</v>
      </c>
      <c r="H6" s="158">
        <f>C6*6.25%+C6</f>
        <v>10837.5</v>
      </c>
      <c r="I6" s="386">
        <f t="shared" si="2"/>
        <v>11514.84375</v>
      </c>
    </row>
    <row r="7" spans="1:9" s="475" customFormat="1" x14ac:dyDescent="0.25">
      <c r="A7" s="253" t="s">
        <v>173</v>
      </c>
      <c r="B7" s="158"/>
      <c r="C7" s="158">
        <v>75029</v>
      </c>
      <c r="D7" s="158"/>
      <c r="E7" s="158">
        <f t="shared" si="0"/>
        <v>75029</v>
      </c>
      <c r="F7" s="91">
        <v>0</v>
      </c>
      <c r="G7" s="158">
        <f t="shared" si="1"/>
        <v>75029</v>
      </c>
      <c r="H7" s="158">
        <f>C7*6.25%+C7</f>
        <v>79718.3125</v>
      </c>
      <c r="I7" s="386">
        <f>H7*6.25%+H7</f>
        <v>84700.70703125</v>
      </c>
    </row>
    <row r="8" spans="1:9" s="475" customFormat="1" x14ac:dyDescent="0.25">
      <c r="A8" s="253" t="s">
        <v>5</v>
      </c>
      <c r="B8" s="158">
        <v>400989</v>
      </c>
      <c r="C8" s="158">
        <f>B8*6.25%+B8</f>
        <v>426050.8125</v>
      </c>
      <c r="D8" s="158">
        <v>236136</v>
      </c>
      <c r="E8" s="158">
        <f t="shared" si="0"/>
        <v>189914.8125</v>
      </c>
      <c r="F8" s="91"/>
      <c r="G8" s="158">
        <f t="shared" si="1"/>
        <v>426050.8125</v>
      </c>
      <c r="H8" s="158">
        <f>C8*6.25%+C8</f>
        <v>452678.98828125</v>
      </c>
      <c r="I8" s="386">
        <f t="shared" si="2"/>
        <v>480971.42504882813</v>
      </c>
    </row>
    <row r="9" spans="1:9" s="476" customFormat="1" x14ac:dyDescent="0.25">
      <c r="A9" s="424" t="s">
        <v>40</v>
      </c>
      <c r="B9" s="246">
        <f>SUM(B4:B8)</f>
        <v>1526102</v>
      </c>
      <c r="C9" s="246">
        <f>SUM(C4:C8)</f>
        <v>1696512.375</v>
      </c>
      <c r="D9" s="246">
        <f>SUM(D4:D8)</f>
        <v>902373</v>
      </c>
      <c r="E9" s="246">
        <f>SUM(E4:E8)</f>
        <v>794139.375</v>
      </c>
      <c r="F9" s="246">
        <f t="shared" ref="F9:G9" si="3">SUM(F4:F8)</f>
        <v>0</v>
      </c>
      <c r="G9" s="246">
        <f t="shared" si="3"/>
        <v>1696512.375</v>
      </c>
      <c r="H9" s="246">
        <f>SUM(H4:H8)</f>
        <v>1802544.3984375</v>
      </c>
      <c r="I9" s="387">
        <f>SUM(I4:I8)</f>
        <v>1915203.4233398438</v>
      </c>
    </row>
    <row r="10" spans="1:9" s="475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475" customFormat="1" x14ac:dyDescent="0.25">
      <c r="A11" s="253" t="s">
        <v>6</v>
      </c>
      <c r="B11" s="158">
        <v>92904</v>
      </c>
      <c r="C11" s="158">
        <f t="shared" ref="C11:I13" si="4">B11*6.25%+B11</f>
        <v>98710.5</v>
      </c>
      <c r="D11" s="158">
        <v>53263</v>
      </c>
      <c r="E11" s="158">
        <f t="shared" ref="E11:E14" si="5">C11-D11</f>
        <v>45447.5</v>
      </c>
      <c r="F11" s="91"/>
      <c r="G11" s="158">
        <f t="shared" ref="G11:G15" si="6">C11+F11</f>
        <v>98710.5</v>
      </c>
      <c r="H11" s="158">
        <f>C11*6.25%+C11</f>
        <v>104879.90625</v>
      </c>
      <c r="I11" s="386">
        <f t="shared" si="4"/>
        <v>111434.900390625</v>
      </c>
    </row>
    <row r="12" spans="1:9" s="475" customFormat="1" x14ac:dyDescent="0.25">
      <c r="A12" s="253" t="s">
        <v>7</v>
      </c>
      <c r="B12" s="158">
        <v>10297</v>
      </c>
      <c r="C12" s="158">
        <f t="shared" si="4"/>
        <v>10940.5625</v>
      </c>
      <c r="D12" s="158">
        <v>1785</v>
      </c>
      <c r="E12" s="158">
        <f t="shared" si="5"/>
        <v>9155.5625</v>
      </c>
      <c r="F12" s="91"/>
      <c r="G12" s="158">
        <f t="shared" si="6"/>
        <v>10940.5625</v>
      </c>
      <c r="H12" s="158">
        <f>C12*6.25%+C12</f>
        <v>11624.34765625</v>
      </c>
      <c r="I12" s="386">
        <f t="shared" si="4"/>
        <v>12350.869384765625</v>
      </c>
    </row>
    <row r="13" spans="1:9" s="475" customFormat="1" x14ac:dyDescent="0.25">
      <c r="A13" s="253" t="s">
        <v>8</v>
      </c>
      <c r="B13" s="158">
        <v>226535</v>
      </c>
      <c r="C13" s="158">
        <f t="shared" si="4"/>
        <v>240693.4375</v>
      </c>
      <c r="D13" s="158">
        <v>127466</v>
      </c>
      <c r="E13" s="158">
        <f t="shared" si="5"/>
        <v>113227.4375</v>
      </c>
      <c r="F13" s="91">
        <v>0</v>
      </c>
      <c r="G13" s="158">
        <f t="shared" si="6"/>
        <v>240693.4375</v>
      </c>
      <c r="H13" s="158">
        <f>C13*6.25%+C13</f>
        <v>255736.77734375</v>
      </c>
      <c r="I13" s="386">
        <f t="shared" si="4"/>
        <v>271720.32592773438</v>
      </c>
    </row>
    <row r="14" spans="1:9" x14ac:dyDescent="0.25">
      <c r="A14" s="96" t="s">
        <v>396</v>
      </c>
      <c r="B14" s="91"/>
      <c r="C14" s="91">
        <v>9600</v>
      </c>
      <c r="D14" s="91"/>
      <c r="E14" s="158">
        <f t="shared" si="5"/>
        <v>9600</v>
      </c>
      <c r="F14" s="91"/>
      <c r="G14" s="158">
        <f t="shared" si="6"/>
        <v>9600</v>
      </c>
      <c r="H14" s="91">
        <v>10262.4</v>
      </c>
      <c r="I14" s="404">
        <v>10970.5056</v>
      </c>
    </row>
    <row r="15" spans="1:9" s="748" customFormat="1" x14ac:dyDescent="0.25">
      <c r="A15" s="785" t="s">
        <v>872</v>
      </c>
      <c r="B15" s="91"/>
      <c r="C15" s="91"/>
      <c r="D15" s="91"/>
      <c r="E15" s="158"/>
      <c r="F15" s="91"/>
      <c r="G15" s="158">
        <f t="shared" si="6"/>
        <v>0</v>
      </c>
      <c r="H15" s="91">
        <v>0</v>
      </c>
      <c r="I15" s="176">
        <v>0</v>
      </c>
    </row>
    <row r="16" spans="1:9" s="476" customFormat="1" x14ac:dyDescent="0.25">
      <c r="A16" s="424" t="s">
        <v>41</v>
      </c>
      <c r="B16" s="246">
        <f t="shared" ref="B16" si="7">SUM(B11:B14)</f>
        <v>329736</v>
      </c>
      <c r="C16" s="246">
        <f>SUM(C11:C15)</f>
        <v>359944.5</v>
      </c>
      <c r="D16" s="246">
        <f t="shared" ref="D16:I16" si="8">SUM(D11:D15)</f>
        <v>182514</v>
      </c>
      <c r="E16" s="246">
        <f t="shared" si="8"/>
        <v>177430.5</v>
      </c>
      <c r="F16" s="246">
        <f t="shared" si="8"/>
        <v>0</v>
      </c>
      <c r="G16" s="246">
        <f t="shared" si="8"/>
        <v>359944.5</v>
      </c>
      <c r="H16" s="246">
        <f t="shared" si="8"/>
        <v>382503.43125000002</v>
      </c>
      <c r="I16" s="246">
        <f t="shared" si="8"/>
        <v>406476.60130312497</v>
      </c>
    </row>
    <row r="17" spans="1:9" s="476" customFormat="1" x14ac:dyDescent="0.25">
      <c r="A17" s="477"/>
      <c r="B17" s="246"/>
      <c r="C17" s="246"/>
      <c r="D17" s="246"/>
      <c r="E17" s="246"/>
      <c r="F17" s="246"/>
      <c r="G17" s="246"/>
      <c r="H17" s="246"/>
      <c r="I17" s="351"/>
    </row>
    <row r="18" spans="1:9" s="476" customFormat="1" x14ac:dyDescent="0.25">
      <c r="A18" s="477"/>
      <c r="B18" s="246"/>
      <c r="C18" s="246"/>
      <c r="D18" s="246"/>
      <c r="E18" s="246"/>
      <c r="F18" s="246"/>
      <c r="G18" s="246"/>
      <c r="H18" s="246"/>
      <c r="I18" s="246"/>
    </row>
    <row r="19" spans="1:9" x14ac:dyDescent="0.25">
      <c r="A19" s="253" t="s">
        <v>211</v>
      </c>
      <c r="B19" s="160"/>
      <c r="C19" s="158">
        <f>B19*5.9%+B19</f>
        <v>0</v>
      </c>
      <c r="D19" s="158"/>
      <c r="E19" s="158">
        <f t="shared" ref="E19" si="9">C19-D19</f>
        <v>0</v>
      </c>
      <c r="F19" s="158"/>
      <c r="G19" s="158"/>
      <c r="H19" s="158">
        <f>C19*5.6%+C19</f>
        <v>0</v>
      </c>
      <c r="I19" s="386">
        <f>H19*6.9%+H19</f>
        <v>0</v>
      </c>
    </row>
    <row r="20" spans="1:9" x14ac:dyDescent="0.25">
      <c r="A20" s="424" t="s">
        <v>211</v>
      </c>
      <c r="B20" s="246">
        <f>B19</f>
        <v>0</v>
      </c>
      <c r="C20" s="246">
        <f>C19</f>
        <v>0</v>
      </c>
      <c r="D20" s="246"/>
      <c r="E20" s="246"/>
      <c r="F20" s="246"/>
      <c r="G20" s="246"/>
      <c r="H20" s="246">
        <f>H19</f>
        <v>0</v>
      </c>
      <c r="I20" s="386">
        <f>H20*6.9%+H20</f>
        <v>0</v>
      </c>
    </row>
    <row r="21" spans="1:9" s="478" customFormat="1" x14ac:dyDescent="0.25">
      <c r="A21" s="477"/>
      <c r="B21" s="246"/>
      <c r="C21" s="246"/>
      <c r="D21" s="246"/>
      <c r="E21" s="246"/>
      <c r="F21" s="246"/>
      <c r="G21" s="246"/>
      <c r="H21" s="246"/>
      <c r="I21" s="386">
        <f>H21*6.9%+H21</f>
        <v>0</v>
      </c>
    </row>
    <row r="22" spans="1:9" s="474" customFormat="1" x14ac:dyDescent="0.25">
      <c r="A22" s="253" t="s">
        <v>447</v>
      </c>
      <c r="B22" s="158">
        <v>200000</v>
      </c>
      <c r="C22" s="158">
        <f>B22*6.25%+B22</f>
        <v>212500</v>
      </c>
      <c r="D22" s="158"/>
      <c r="E22" s="158">
        <f t="shared" ref="E22" si="10">C22-D22</f>
        <v>212500</v>
      </c>
      <c r="F22" s="805">
        <v>-212500</v>
      </c>
      <c r="G22" s="158">
        <f t="shared" ref="G22" si="11">C22+F22</f>
        <v>0</v>
      </c>
      <c r="H22" s="158">
        <f>C22*6.25%+C22</f>
        <v>225781.25</v>
      </c>
      <c r="I22" s="386">
        <f>H22*6.25%+H22</f>
        <v>239892.578125</v>
      </c>
    </row>
    <row r="23" spans="1:9" s="479" customFormat="1" x14ac:dyDescent="0.25">
      <c r="A23" s="424" t="s">
        <v>43</v>
      </c>
      <c r="B23" s="246">
        <f>SUM(B22:B22)</f>
        <v>200000</v>
      </c>
      <c r="C23" s="246">
        <f>SUM(C22:C22)</f>
        <v>212500</v>
      </c>
      <c r="D23" s="246">
        <f>SUM(D22:D22)</f>
        <v>0</v>
      </c>
      <c r="E23" s="246">
        <f>SUM(E22:E22)</f>
        <v>212500</v>
      </c>
      <c r="F23" s="806">
        <f t="shared" ref="F23:G23" si="12">SUM(F22:F22)</f>
        <v>-212500</v>
      </c>
      <c r="G23" s="246">
        <f t="shared" si="12"/>
        <v>0</v>
      </c>
      <c r="H23" s="246">
        <f>SUM(H22:H22)</f>
        <v>225781.25</v>
      </c>
      <c r="I23" s="387">
        <f>SUM(I22:I22)</f>
        <v>239892.578125</v>
      </c>
    </row>
    <row r="24" spans="1:9" s="479" customFormat="1" x14ac:dyDescent="0.25">
      <c r="A24" s="477"/>
      <c r="B24" s="246"/>
      <c r="C24" s="246"/>
      <c r="D24" s="246"/>
      <c r="E24" s="246"/>
      <c r="F24" s="246"/>
      <c r="G24" s="246"/>
      <c r="H24" s="246"/>
      <c r="I24" s="387"/>
    </row>
    <row r="25" spans="1:9" s="480" customFormat="1" x14ac:dyDescent="0.25">
      <c r="A25" s="253" t="s">
        <v>9</v>
      </c>
      <c r="B25" s="246"/>
      <c r="C25" s="158">
        <v>10941</v>
      </c>
      <c r="D25" s="158">
        <v>4490</v>
      </c>
      <c r="E25" s="158">
        <f t="shared" ref="E25:E37" si="13">C25-D25</f>
        <v>6451</v>
      </c>
      <c r="F25" s="805"/>
      <c r="G25" s="158">
        <f t="shared" ref="G25:G37" si="14">C25+F25</f>
        <v>10941</v>
      </c>
      <c r="H25" s="158">
        <f>C25*6.25%+C25</f>
        <v>11624.8125</v>
      </c>
      <c r="I25" s="386">
        <f t="shared" ref="I25:I27" si="15">H25*6.25%+H25</f>
        <v>12351.36328125</v>
      </c>
    </row>
    <row r="26" spans="1:9" s="474" customFormat="1" x14ac:dyDescent="0.25">
      <c r="A26" s="253" t="s">
        <v>59</v>
      </c>
      <c r="B26" s="158">
        <v>50000</v>
      </c>
      <c r="C26" s="158">
        <f>B26*4.5%+B26</f>
        <v>52250</v>
      </c>
      <c r="D26" s="158"/>
      <c r="E26" s="158">
        <f t="shared" si="13"/>
        <v>52250</v>
      </c>
      <c r="F26" s="805"/>
      <c r="G26" s="158">
        <f t="shared" si="14"/>
        <v>52250</v>
      </c>
      <c r="H26" s="158">
        <f>C26*6.25%+C26</f>
        <v>55515.625</v>
      </c>
      <c r="I26" s="386">
        <f t="shared" si="15"/>
        <v>58985.3515625</v>
      </c>
    </row>
    <row r="27" spans="1:9" s="475" customFormat="1" x14ac:dyDescent="0.25">
      <c r="A27" s="253" t="s">
        <v>51</v>
      </c>
      <c r="B27" s="158">
        <f>100000/2</f>
        <v>50000</v>
      </c>
      <c r="C27" s="158">
        <v>200000</v>
      </c>
      <c r="D27" s="158"/>
      <c r="E27" s="158">
        <f t="shared" si="13"/>
        <v>200000</v>
      </c>
      <c r="F27" s="158"/>
      <c r="G27" s="158">
        <f t="shared" si="14"/>
        <v>200000</v>
      </c>
      <c r="H27" s="158">
        <f>C27*6.25%+C27</f>
        <v>212500</v>
      </c>
      <c r="I27" s="386">
        <f t="shared" si="15"/>
        <v>225781.25</v>
      </c>
    </row>
    <row r="28" spans="1:9" s="475" customFormat="1" x14ac:dyDescent="0.25">
      <c r="A28" s="807" t="s">
        <v>663</v>
      </c>
      <c r="B28" s="254"/>
      <c r="C28" s="254">
        <v>950000</v>
      </c>
      <c r="D28" s="254"/>
      <c r="E28" s="158">
        <f t="shared" si="13"/>
        <v>950000</v>
      </c>
      <c r="F28" s="158">
        <v>819000</v>
      </c>
      <c r="G28" s="158">
        <f t="shared" si="14"/>
        <v>1769000</v>
      </c>
      <c r="H28" s="158">
        <v>0</v>
      </c>
      <c r="I28" s="386">
        <v>0</v>
      </c>
    </row>
    <row r="29" spans="1:9" s="475" customFormat="1" x14ac:dyDescent="0.25">
      <c r="A29" s="253" t="s">
        <v>664</v>
      </c>
      <c r="B29" s="254"/>
      <c r="C29" s="254">
        <v>800000</v>
      </c>
      <c r="D29" s="254"/>
      <c r="E29" s="158">
        <f t="shared" si="13"/>
        <v>800000</v>
      </c>
      <c r="F29" s="158">
        <v>-800000</v>
      </c>
      <c r="G29" s="158">
        <f t="shared" si="14"/>
        <v>0</v>
      </c>
      <c r="H29" s="158">
        <v>1200000</v>
      </c>
      <c r="I29" s="386">
        <v>900000</v>
      </c>
    </row>
    <row r="30" spans="1:9" s="475" customFormat="1" x14ac:dyDescent="0.25">
      <c r="A30" s="253" t="s">
        <v>665</v>
      </c>
      <c r="B30" s="254"/>
      <c r="C30" s="254">
        <v>700000</v>
      </c>
      <c r="D30" s="254"/>
      <c r="E30" s="158">
        <f t="shared" si="13"/>
        <v>700000</v>
      </c>
      <c r="F30" s="158">
        <v>-700000</v>
      </c>
      <c r="G30" s="158">
        <f t="shared" si="14"/>
        <v>0</v>
      </c>
      <c r="H30" s="158">
        <v>700000</v>
      </c>
      <c r="I30" s="386">
        <v>1300000</v>
      </c>
    </row>
    <row r="31" spans="1:9" s="475" customFormat="1" x14ac:dyDescent="0.25">
      <c r="A31" s="253" t="s">
        <v>667</v>
      </c>
      <c r="B31" s="254"/>
      <c r="C31" s="254">
        <v>1050000</v>
      </c>
      <c r="D31" s="254"/>
      <c r="E31" s="158">
        <f t="shared" si="13"/>
        <v>1050000</v>
      </c>
      <c r="F31" s="158">
        <v>-1050000</v>
      </c>
      <c r="G31" s="158">
        <f t="shared" si="14"/>
        <v>0</v>
      </c>
      <c r="H31" s="158">
        <v>700000</v>
      </c>
      <c r="I31" s="386">
        <v>1050000</v>
      </c>
    </row>
    <row r="32" spans="1:9" s="475" customFormat="1" x14ac:dyDescent="0.25">
      <c r="A32" s="253" t="s">
        <v>668</v>
      </c>
      <c r="B32" s="254"/>
      <c r="C32" s="254">
        <v>450000</v>
      </c>
      <c r="D32" s="254"/>
      <c r="E32" s="158">
        <f t="shared" si="13"/>
        <v>450000</v>
      </c>
      <c r="F32" s="158">
        <v>130000</v>
      </c>
      <c r="G32" s="158">
        <f t="shared" si="14"/>
        <v>580000</v>
      </c>
      <c r="H32" s="158">
        <v>300000</v>
      </c>
      <c r="I32" s="386">
        <v>4000000</v>
      </c>
    </row>
    <row r="33" spans="1:9" s="475" customFormat="1" x14ac:dyDescent="0.25">
      <c r="A33" s="253" t="s">
        <v>587</v>
      </c>
      <c r="B33" s="254"/>
      <c r="C33" s="254">
        <v>50000</v>
      </c>
      <c r="D33" s="254"/>
      <c r="E33" s="158">
        <f t="shared" si="13"/>
        <v>50000</v>
      </c>
      <c r="F33" s="158">
        <v>0</v>
      </c>
      <c r="G33" s="158">
        <f t="shared" si="14"/>
        <v>50000</v>
      </c>
      <c r="H33" s="158">
        <v>52700</v>
      </c>
      <c r="I33" s="386">
        <v>100000</v>
      </c>
    </row>
    <row r="34" spans="1:9" s="475" customFormat="1" x14ac:dyDescent="0.25">
      <c r="A34" s="253" t="s">
        <v>669</v>
      </c>
      <c r="B34" s="254"/>
      <c r="C34" s="254">
        <v>200000</v>
      </c>
      <c r="D34" s="254"/>
      <c r="E34" s="158">
        <f t="shared" si="13"/>
        <v>200000</v>
      </c>
      <c r="F34" s="91">
        <v>0</v>
      </c>
      <c r="G34" s="158">
        <f t="shared" si="14"/>
        <v>200000</v>
      </c>
      <c r="H34" s="158">
        <v>210000</v>
      </c>
      <c r="I34" s="386">
        <v>22183</v>
      </c>
    </row>
    <row r="35" spans="1:9" s="475" customFormat="1" x14ac:dyDescent="0.25">
      <c r="A35" s="253" t="s">
        <v>129</v>
      </c>
      <c r="B35" s="254"/>
      <c r="C35" s="254">
        <v>0</v>
      </c>
      <c r="D35" s="254"/>
      <c r="E35" s="158">
        <f t="shared" si="13"/>
        <v>0</v>
      </c>
      <c r="F35" s="91">
        <v>0</v>
      </c>
      <c r="G35" s="158">
        <f t="shared" si="14"/>
        <v>0</v>
      </c>
      <c r="H35" s="158">
        <v>950000</v>
      </c>
      <c r="I35" s="386">
        <v>0</v>
      </c>
    </row>
    <row r="36" spans="1:9" s="475" customFormat="1" x14ac:dyDescent="0.25">
      <c r="A36" s="253" t="s">
        <v>670</v>
      </c>
      <c r="B36" s="254"/>
      <c r="C36" s="254">
        <v>0</v>
      </c>
      <c r="D36" s="254"/>
      <c r="E36" s="158">
        <f t="shared" si="13"/>
        <v>0</v>
      </c>
      <c r="F36" s="91">
        <v>0</v>
      </c>
      <c r="G36" s="158">
        <f t="shared" si="14"/>
        <v>0</v>
      </c>
      <c r="H36" s="158">
        <v>700000</v>
      </c>
      <c r="I36" s="386">
        <v>1000000</v>
      </c>
    </row>
    <row r="37" spans="1:9" s="475" customFormat="1" x14ac:dyDescent="0.25">
      <c r="A37" s="253" t="s">
        <v>666</v>
      </c>
      <c r="B37" s="254"/>
      <c r="C37" s="254">
        <v>1000000</v>
      </c>
      <c r="D37" s="254"/>
      <c r="E37" s="158">
        <f t="shared" si="13"/>
        <v>1000000</v>
      </c>
      <c r="F37" s="91"/>
      <c r="G37" s="158">
        <f t="shared" si="14"/>
        <v>1000000</v>
      </c>
      <c r="H37" s="158">
        <v>1200000</v>
      </c>
      <c r="I37" s="386">
        <v>700000</v>
      </c>
    </row>
    <row r="38" spans="1:9" s="211" customFormat="1" x14ac:dyDescent="0.25">
      <c r="A38" s="424" t="s">
        <v>42</v>
      </c>
      <c r="B38" s="246">
        <f>SUM(B26:B37)</f>
        <v>100000</v>
      </c>
      <c r="C38" s="246">
        <f>SUM(C25:C37)</f>
        <v>5463191</v>
      </c>
      <c r="D38" s="246">
        <f>SUM(D25:D37)</f>
        <v>4490</v>
      </c>
      <c r="E38" s="246">
        <f>SUM(E25:E37)</f>
        <v>5458701</v>
      </c>
      <c r="F38" s="246">
        <f t="shared" ref="F38:G38" si="16">SUM(F25:F37)</f>
        <v>-1601000</v>
      </c>
      <c r="G38" s="246">
        <f t="shared" si="16"/>
        <v>3862191</v>
      </c>
      <c r="H38" s="246">
        <f>SUM(H25:H37)</f>
        <v>6292340.4375</v>
      </c>
      <c r="I38" s="246">
        <f>SUM(I25:I37)</f>
        <v>9369300.96484375</v>
      </c>
    </row>
    <row r="39" spans="1:9" x14ac:dyDescent="0.25">
      <c r="A39" s="424"/>
      <c r="B39" s="246"/>
      <c r="C39" s="246"/>
      <c r="D39" s="246"/>
      <c r="E39" s="246"/>
      <c r="F39" s="246"/>
      <c r="G39" s="246"/>
      <c r="H39" s="246"/>
      <c r="I39" s="386">
        <f>H39*6.9%+H39</f>
        <v>0</v>
      </c>
    </row>
    <row r="40" spans="1:9" s="211" customFormat="1" ht="15.75" thickBot="1" x14ac:dyDescent="0.3">
      <c r="A40" s="426" t="s">
        <v>46</v>
      </c>
      <c r="B40" s="392">
        <f>B9+B16+B20+B23+B38</f>
        <v>2155838</v>
      </c>
      <c r="C40" s="392">
        <f>C38+C23+C16+C9</f>
        <v>7732147.875</v>
      </c>
      <c r="D40" s="392">
        <f>D38+D23+D16+D9</f>
        <v>1089377</v>
      </c>
      <c r="E40" s="392">
        <f>E38+E23+E16+E9</f>
        <v>6642770.875</v>
      </c>
      <c r="F40" s="392">
        <f t="shared" ref="F40:G40" si="17">F38+F23+F16+F9</f>
        <v>-1813500</v>
      </c>
      <c r="G40" s="392">
        <f t="shared" si="17"/>
        <v>5918647.875</v>
      </c>
      <c r="H40" s="392">
        <f>H38+H23+H16+H9</f>
        <v>8703169.5171875004</v>
      </c>
      <c r="I40" s="392">
        <f>I38+I23+I16+I9</f>
        <v>11930873.567611719</v>
      </c>
    </row>
  </sheetData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Header>&amp;C&amp;P</oddHead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1"/>
  <sheetViews>
    <sheetView topLeftCell="A36" zoomScaleNormal="100" workbookViewId="0">
      <selection activeCell="R39" sqref="R39"/>
    </sheetView>
  </sheetViews>
  <sheetFormatPr defaultColWidth="8.85546875" defaultRowHeight="15" x14ac:dyDescent="0.25"/>
  <cols>
    <col min="1" max="31" width="8.85546875" style="901"/>
  </cols>
  <sheetData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view="pageBreakPreview" topLeftCell="A23" zoomScaleNormal="100" zoomScaleSheetLayoutView="100" workbookViewId="0">
      <selection activeCell="F26" sqref="F26"/>
    </sheetView>
  </sheetViews>
  <sheetFormatPr defaultColWidth="9.28515625" defaultRowHeight="15" x14ac:dyDescent="0.25"/>
  <cols>
    <col min="1" max="1" width="41.85546875" style="272" customWidth="1"/>
    <col min="2" max="2" width="14.42578125" style="243" hidden="1" customWidth="1"/>
    <col min="3" max="5" width="17.28515625" style="243" customWidth="1"/>
    <col min="6" max="6" width="13.42578125" style="243" customWidth="1"/>
    <col min="7" max="7" width="17.28515625" style="243" customWidth="1"/>
    <col min="8" max="8" width="15.85546875" style="243" customWidth="1"/>
    <col min="9" max="9" width="13" style="352" customWidth="1"/>
    <col min="10" max="16384" width="9.28515625" style="97"/>
  </cols>
  <sheetData>
    <row r="1" spans="1:9" ht="18.75" x14ac:dyDescent="0.3">
      <c r="A1" s="515" t="s">
        <v>769</v>
      </c>
      <c r="B1" s="363"/>
      <c r="C1" s="363"/>
      <c r="D1" s="363"/>
      <c r="E1" s="363"/>
      <c r="F1" s="363"/>
      <c r="G1" s="363"/>
      <c r="H1" s="363"/>
    </row>
    <row r="2" spans="1:9" ht="16.5" thickBot="1" x14ac:dyDescent="0.3">
      <c r="A2" s="520"/>
      <c r="B2" s="364"/>
      <c r="C2" s="364"/>
      <c r="D2" s="364"/>
      <c r="E2" s="364"/>
      <c r="F2" s="364"/>
      <c r="G2" s="364"/>
      <c r="H2" s="364"/>
    </row>
    <row r="3" spans="1:9" ht="49.5" customHeight="1" thickBot="1" x14ac:dyDescent="0.3">
      <c r="A3" s="521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716" t="s">
        <v>164</v>
      </c>
      <c r="G3" s="605" t="s">
        <v>789</v>
      </c>
      <c r="H3" s="384" t="s">
        <v>556</v>
      </c>
      <c r="I3" s="408" t="s">
        <v>644</v>
      </c>
    </row>
    <row r="4" spans="1:9" s="475" customFormat="1" x14ac:dyDescent="0.25">
      <c r="A4" s="253" t="s">
        <v>2</v>
      </c>
      <c r="B4" s="158">
        <v>1029704</v>
      </c>
      <c r="C4" s="158">
        <f>B4*6.25%+B4</f>
        <v>1094060.5</v>
      </c>
      <c r="D4" s="158">
        <v>706415</v>
      </c>
      <c r="E4" s="358">
        <f>C4-D4</f>
        <v>387645.5</v>
      </c>
      <c r="F4" s="91">
        <v>0</v>
      </c>
      <c r="G4" s="158">
        <f>C4+F4</f>
        <v>1094060.5</v>
      </c>
      <c r="H4" s="158">
        <f>C4*6.25%+C4</f>
        <v>1162439.28125</v>
      </c>
      <c r="I4" s="386">
        <f>H4*6.25%+H4</f>
        <v>1235091.736328125</v>
      </c>
    </row>
    <row r="5" spans="1:9" s="475" customFormat="1" x14ac:dyDescent="0.25">
      <c r="A5" s="253" t="s">
        <v>3</v>
      </c>
      <c r="B5" s="158">
        <v>85809</v>
      </c>
      <c r="C5" s="158">
        <f t="shared" ref="C5:I8" si="0">B5*6.25%+B5</f>
        <v>91172.0625</v>
      </c>
      <c r="D5" s="158"/>
      <c r="E5" s="358">
        <f t="shared" ref="E5:E8" si="1">C5-D5</f>
        <v>91172.0625</v>
      </c>
      <c r="F5" s="91">
        <v>0</v>
      </c>
      <c r="G5" s="158">
        <f t="shared" ref="G5:G8" si="2">C5+F5</f>
        <v>91172.0625</v>
      </c>
      <c r="H5" s="158">
        <f>C5*6.25%+C5</f>
        <v>96870.31640625</v>
      </c>
      <c r="I5" s="386">
        <f t="shared" si="0"/>
        <v>102924.71118164063</v>
      </c>
    </row>
    <row r="6" spans="1:9" s="475" customFormat="1" x14ac:dyDescent="0.25">
      <c r="A6" s="253" t="s">
        <v>4</v>
      </c>
      <c r="B6" s="158">
        <v>0</v>
      </c>
      <c r="C6" s="158">
        <f t="shared" si="0"/>
        <v>0</v>
      </c>
      <c r="D6" s="158">
        <v>7598</v>
      </c>
      <c r="E6" s="358">
        <f t="shared" si="1"/>
        <v>-7598</v>
      </c>
      <c r="F6" s="91">
        <v>0</v>
      </c>
      <c r="G6" s="158">
        <f t="shared" si="2"/>
        <v>0</v>
      </c>
      <c r="H6" s="158">
        <f>C6*6.25%+C6</f>
        <v>0</v>
      </c>
      <c r="I6" s="386">
        <f t="shared" si="0"/>
        <v>0</v>
      </c>
    </row>
    <row r="7" spans="1:9" s="475" customFormat="1" x14ac:dyDescent="0.25">
      <c r="A7" s="253" t="s">
        <v>173</v>
      </c>
      <c r="B7" s="158"/>
      <c r="C7" s="158">
        <v>76218</v>
      </c>
      <c r="D7" s="158"/>
      <c r="E7" s="358">
        <f t="shared" si="1"/>
        <v>76218</v>
      </c>
      <c r="F7" s="91">
        <v>0</v>
      </c>
      <c r="G7" s="158">
        <f t="shared" si="2"/>
        <v>76218</v>
      </c>
      <c r="H7" s="158">
        <f>C7*6.25%+C7</f>
        <v>80981.625</v>
      </c>
      <c r="I7" s="386">
        <f>H7*6.25%+H7</f>
        <v>86042.9765625</v>
      </c>
    </row>
    <row r="8" spans="1:9" s="475" customFormat="1" x14ac:dyDescent="0.25">
      <c r="A8" s="253" t="s">
        <v>5</v>
      </c>
      <c r="B8" s="158">
        <v>439097</v>
      </c>
      <c r="C8" s="158">
        <f t="shared" si="0"/>
        <v>466540.5625</v>
      </c>
      <c r="D8" s="158">
        <v>215658</v>
      </c>
      <c r="E8" s="358">
        <f t="shared" si="1"/>
        <v>250882.5625</v>
      </c>
      <c r="F8" s="91">
        <v>0</v>
      </c>
      <c r="G8" s="158">
        <f t="shared" si="2"/>
        <v>466540.5625</v>
      </c>
      <c r="H8" s="158">
        <f>C8*6.25%+C8</f>
        <v>495699.34765625</v>
      </c>
      <c r="I8" s="386">
        <f t="shared" si="0"/>
        <v>526680.55688476563</v>
      </c>
    </row>
    <row r="9" spans="1:9" s="476" customFormat="1" x14ac:dyDescent="0.25">
      <c r="A9" s="424" t="s">
        <v>40</v>
      </c>
      <c r="B9" s="246">
        <f>SUM(B4:B8)</f>
        <v>1554610</v>
      </c>
      <c r="C9" s="246">
        <f>SUM(C4:C8)</f>
        <v>1727991.125</v>
      </c>
      <c r="D9" s="246">
        <f>SUM(D4:D8)</f>
        <v>929671</v>
      </c>
      <c r="E9" s="246">
        <f>SUM(E4:E8)</f>
        <v>798320.125</v>
      </c>
      <c r="F9" s="246">
        <f t="shared" ref="F9:G9" si="3">SUM(F4:F8)</f>
        <v>0</v>
      </c>
      <c r="G9" s="246">
        <f t="shared" si="3"/>
        <v>1727991.125</v>
      </c>
      <c r="H9" s="246">
        <f>SUM(H4:H8)</f>
        <v>1835990.5703125</v>
      </c>
      <c r="I9" s="387">
        <f>SUM(I4:I8)</f>
        <v>1950739.9809570313</v>
      </c>
    </row>
    <row r="10" spans="1:9" s="475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475" customFormat="1" x14ac:dyDescent="0.25">
      <c r="A11" s="253" t="s">
        <v>6</v>
      </c>
      <c r="B11" s="158">
        <v>92904</v>
      </c>
      <c r="C11" s="158">
        <f>B11*6.25%+B11</f>
        <v>98710.5</v>
      </c>
      <c r="D11" s="158">
        <v>46664</v>
      </c>
      <c r="E11" s="358">
        <f t="shared" ref="E11:E14" si="4">C11-D11</f>
        <v>52046.5</v>
      </c>
      <c r="F11" s="91">
        <v>0</v>
      </c>
      <c r="G11" s="158">
        <f t="shared" ref="G11:G15" si="5">C11+F11</f>
        <v>98710.5</v>
      </c>
      <c r="H11" s="158">
        <f>C11*6.25%+C11</f>
        <v>104879.90625</v>
      </c>
      <c r="I11" s="386">
        <f>H11*6.25%+H11</f>
        <v>111434.900390625</v>
      </c>
    </row>
    <row r="12" spans="1:9" s="475" customFormat="1" x14ac:dyDescent="0.25">
      <c r="A12" s="253" t="s">
        <v>7</v>
      </c>
      <c r="B12" s="158">
        <v>10297</v>
      </c>
      <c r="C12" s="158">
        <f t="shared" ref="C12:I13" si="6">B12*6.25%+B12</f>
        <v>10940.5625</v>
      </c>
      <c r="D12" s="158">
        <v>1785</v>
      </c>
      <c r="E12" s="358">
        <f t="shared" si="4"/>
        <v>9155.5625</v>
      </c>
      <c r="F12" s="91">
        <v>0</v>
      </c>
      <c r="G12" s="158">
        <f t="shared" si="5"/>
        <v>10940.5625</v>
      </c>
      <c r="H12" s="158">
        <f>C12*6.25%+C12</f>
        <v>11624.34765625</v>
      </c>
      <c r="I12" s="386">
        <f t="shared" si="6"/>
        <v>12350.869384765625</v>
      </c>
    </row>
    <row r="13" spans="1:9" s="475" customFormat="1" x14ac:dyDescent="0.25">
      <c r="A13" s="253" t="s">
        <v>8</v>
      </c>
      <c r="B13" s="158">
        <v>226535</v>
      </c>
      <c r="C13" s="158">
        <f t="shared" si="6"/>
        <v>240693.4375</v>
      </c>
      <c r="D13" s="158">
        <v>120347</v>
      </c>
      <c r="E13" s="358">
        <f t="shared" si="4"/>
        <v>120346.4375</v>
      </c>
      <c r="F13" s="91">
        <v>0</v>
      </c>
      <c r="G13" s="158">
        <f t="shared" si="5"/>
        <v>240693.4375</v>
      </c>
      <c r="H13" s="158">
        <f>C13*6.25%+C13</f>
        <v>255736.77734375</v>
      </c>
      <c r="I13" s="386">
        <f t="shared" si="6"/>
        <v>271720.32592773438</v>
      </c>
    </row>
    <row r="14" spans="1:9" x14ac:dyDescent="0.25">
      <c r="A14" s="96" t="s">
        <v>396</v>
      </c>
      <c r="B14" s="91"/>
      <c r="C14" s="91">
        <v>9600</v>
      </c>
      <c r="D14" s="91"/>
      <c r="E14" s="358">
        <f t="shared" si="4"/>
        <v>9600</v>
      </c>
      <c r="F14" s="91">
        <v>0</v>
      </c>
      <c r="G14" s="158">
        <f t="shared" si="5"/>
        <v>9600</v>
      </c>
      <c r="H14" s="91">
        <v>10262.4</v>
      </c>
      <c r="I14" s="404">
        <v>10970.5056</v>
      </c>
    </row>
    <row r="15" spans="1:9" s="475" customFormat="1" x14ac:dyDescent="0.25">
      <c r="A15" s="785" t="s">
        <v>872</v>
      </c>
      <c r="B15" s="158">
        <v>10297</v>
      </c>
      <c r="C15" s="243"/>
      <c r="D15" s="243"/>
      <c r="E15" s="243"/>
      <c r="F15" s="243">
        <v>0</v>
      </c>
      <c r="G15" s="158">
        <f t="shared" si="5"/>
        <v>0</v>
      </c>
      <c r="H15" s="243">
        <v>0</v>
      </c>
      <c r="I15" s="352">
        <v>0</v>
      </c>
    </row>
    <row r="16" spans="1:9" s="476" customFormat="1" x14ac:dyDescent="0.25">
      <c r="A16" s="424" t="s">
        <v>41</v>
      </c>
      <c r="B16" s="246">
        <f>SUM(B11:B15)</f>
        <v>340033</v>
      </c>
      <c r="C16" s="246">
        <f>SUM(C11:C15)</f>
        <v>359944.5</v>
      </c>
      <c r="D16" s="246">
        <f>SUM(D11:D15)</f>
        <v>168796</v>
      </c>
      <c r="E16" s="246">
        <f>SUM(E11:E15)</f>
        <v>191148.5</v>
      </c>
      <c r="F16" s="246">
        <v>0</v>
      </c>
      <c r="G16" s="246">
        <f t="shared" ref="G16" si="7">SUM(G11:G15)</f>
        <v>359944.5</v>
      </c>
      <c r="H16" s="246">
        <f>SUM(H11:H15)</f>
        <v>382503.43125000002</v>
      </c>
      <c r="I16" s="246">
        <f>SUM(I11:I15)</f>
        <v>406476.60130312497</v>
      </c>
    </row>
    <row r="17" spans="1:9" s="476" customFormat="1" x14ac:dyDescent="0.25">
      <c r="A17" s="477"/>
      <c r="B17" s="246"/>
      <c r="C17" s="246"/>
      <c r="D17" s="246"/>
      <c r="E17" s="246"/>
      <c r="F17" s="246"/>
      <c r="G17" s="246"/>
      <c r="H17" s="246"/>
      <c r="I17" s="246"/>
    </row>
    <row r="18" spans="1:9" hidden="1" x14ac:dyDescent="0.25">
      <c r="A18" s="253" t="s">
        <v>211</v>
      </c>
      <c r="B18" s="160"/>
      <c r="C18" s="158">
        <f>B18*5.9%+B18</f>
        <v>0</v>
      </c>
      <c r="D18" s="158"/>
      <c r="E18" s="158"/>
      <c r="F18" s="158"/>
      <c r="G18" s="158"/>
      <c r="H18" s="158">
        <f>C18*5.6%+C18</f>
        <v>0</v>
      </c>
      <c r="I18" s="386">
        <f>H18*6.9%+H18</f>
        <v>0</v>
      </c>
    </row>
    <row r="19" spans="1:9" hidden="1" x14ac:dyDescent="0.25">
      <c r="A19" s="477"/>
      <c r="B19" s="246">
        <f>B18</f>
        <v>0</v>
      </c>
      <c r="C19" s="246">
        <f>C18</f>
        <v>0</v>
      </c>
      <c r="D19" s="246"/>
      <c r="E19" s="246"/>
      <c r="F19" s="246"/>
      <c r="G19" s="246"/>
      <c r="H19" s="246">
        <f>H18</f>
        <v>0</v>
      </c>
      <c r="I19" s="387">
        <f>H19*6.9%+H19</f>
        <v>0</v>
      </c>
    </row>
    <row r="20" spans="1:9" s="211" customFormat="1" hidden="1" x14ac:dyDescent="0.25">
      <c r="A20" s="477"/>
      <c r="B20" s="246"/>
      <c r="C20" s="246"/>
      <c r="D20" s="246"/>
      <c r="E20" s="246"/>
      <c r="F20" s="246"/>
      <c r="G20" s="246"/>
      <c r="H20" s="246"/>
      <c r="I20" s="386">
        <f>H20*6.9%+H20</f>
        <v>0</v>
      </c>
    </row>
    <row r="21" spans="1:9" s="93" customFormat="1" hidden="1" x14ac:dyDescent="0.25">
      <c r="A21" s="253"/>
      <c r="B21" s="158"/>
      <c r="C21" s="158"/>
      <c r="D21" s="158"/>
      <c r="E21" s="158"/>
      <c r="F21" s="158"/>
      <c r="G21" s="158"/>
      <c r="H21" s="158"/>
      <c r="I21" s="386">
        <f>H21*6.9%+H21</f>
        <v>0</v>
      </c>
    </row>
    <row r="22" spans="1:9" s="167" customFormat="1" hidden="1" x14ac:dyDescent="0.25">
      <c r="A22" s="477"/>
      <c r="B22" s="246">
        <f>SUM(B21:B21)</f>
        <v>0</v>
      </c>
      <c r="C22" s="246">
        <f>SUM(C21:C21)</f>
        <v>0</v>
      </c>
      <c r="D22" s="246"/>
      <c r="E22" s="246"/>
      <c r="F22" s="246"/>
      <c r="G22" s="246"/>
      <c r="H22" s="246">
        <f>SUM(H21:H21)</f>
        <v>0</v>
      </c>
      <c r="I22" s="386">
        <f>H22*6.9%+H22</f>
        <v>0</v>
      </c>
    </row>
    <row r="23" spans="1:9" s="167" customFormat="1" x14ac:dyDescent="0.25">
      <c r="A23" s="477"/>
      <c r="B23" s="246"/>
      <c r="C23" s="246"/>
      <c r="D23" s="246"/>
      <c r="E23" s="246"/>
      <c r="F23" s="246"/>
      <c r="G23" s="246"/>
      <c r="H23" s="246"/>
      <c r="I23" s="386"/>
    </row>
    <row r="24" spans="1:9" s="475" customFormat="1" x14ac:dyDescent="0.25">
      <c r="A24" s="253" t="s">
        <v>9</v>
      </c>
      <c r="B24" s="158"/>
      <c r="C24" s="158">
        <f>B15*6.25%+B15</f>
        <v>10940.5625</v>
      </c>
      <c r="D24" s="158">
        <v>3519</v>
      </c>
      <c r="E24" s="358">
        <f t="shared" ref="E24:E34" si="8">C24-D24</f>
        <v>7421.5625</v>
      </c>
      <c r="F24" s="805">
        <v>0</v>
      </c>
      <c r="G24" s="158">
        <f t="shared" ref="G24:G36" si="9">C24+F24</f>
        <v>10940.5625</v>
      </c>
      <c r="H24" s="158">
        <f>C24*6.25%+C24</f>
        <v>11624.34765625</v>
      </c>
      <c r="I24" s="386">
        <f t="shared" ref="I24:I26" si="10">H24*6.25%+H24</f>
        <v>12350.869384765625</v>
      </c>
    </row>
    <row r="25" spans="1:9" s="474" customFormat="1" x14ac:dyDescent="0.25">
      <c r="A25" s="253" t="s">
        <v>59</v>
      </c>
      <c r="B25" s="158">
        <v>50000</v>
      </c>
      <c r="C25" s="158">
        <f>B25*4.5%+B25</f>
        <v>52250</v>
      </c>
      <c r="D25" s="158"/>
      <c r="E25" s="358">
        <f t="shared" si="8"/>
        <v>52250</v>
      </c>
      <c r="F25" s="805">
        <v>0</v>
      </c>
      <c r="G25" s="158">
        <f t="shared" si="9"/>
        <v>52250</v>
      </c>
      <c r="H25" s="158">
        <f>C25*6.25%+C25</f>
        <v>55515.625</v>
      </c>
      <c r="I25" s="386">
        <f t="shared" si="10"/>
        <v>58985.3515625</v>
      </c>
    </row>
    <row r="26" spans="1:9" s="475" customFormat="1" x14ac:dyDescent="0.25">
      <c r="A26" s="253" t="s">
        <v>51</v>
      </c>
      <c r="B26" s="158">
        <f>100000/2</f>
        <v>50000</v>
      </c>
      <c r="C26" s="158">
        <v>60000</v>
      </c>
      <c r="D26" s="158"/>
      <c r="E26" s="358">
        <f t="shared" si="8"/>
        <v>60000</v>
      </c>
      <c r="F26" s="91">
        <v>0</v>
      </c>
      <c r="G26" s="158">
        <f t="shared" si="9"/>
        <v>60000</v>
      </c>
      <c r="H26" s="158">
        <f>C26*6.25%+C26</f>
        <v>63750</v>
      </c>
      <c r="I26" s="386">
        <f t="shared" si="10"/>
        <v>67734.375</v>
      </c>
    </row>
    <row r="27" spans="1:9" s="475" customFormat="1" x14ac:dyDescent="0.25">
      <c r="A27" s="253" t="s">
        <v>657</v>
      </c>
      <c r="B27" s="158"/>
      <c r="C27" s="158">
        <v>1000000</v>
      </c>
      <c r="D27" s="158"/>
      <c r="E27" s="358">
        <f t="shared" si="8"/>
        <v>1000000</v>
      </c>
      <c r="F27" s="91">
        <v>-700000</v>
      </c>
      <c r="G27" s="158">
        <f t="shared" si="9"/>
        <v>300000</v>
      </c>
      <c r="H27" s="158">
        <v>1000000</v>
      </c>
      <c r="I27" s="386">
        <v>1000000</v>
      </c>
    </row>
    <row r="28" spans="1:9" s="475" customFormat="1" x14ac:dyDescent="0.25">
      <c r="A28" s="253" t="s">
        <v>658</v>
      </c>
      <c r="B28" s="254">
        <v>350000</v>
      </c>
      <c r="C28" s="254">
        <v>1000000</v>
      </c>
      <c r="D28" s="254"/>
      <c r="E28" s="358">
        <f t="shared" si="8"/>
        <v>1000000</v>
      </c>
      <c r="F28" s="91">
        <v>-700000</v>
      </c>
      <c r="G28" s="158">
        <f t="shared" si="9"/>
        <v>300000</v>
      </c>
      <c r="H28" s="158">
        <v>0</v>
      </c>
      <c r="I28" s="386">
        <v>0</v>
      </c>
    </row>
    <row r="29" spans="1:9" s="475" customFormat="1" x14ac:dyDescent="0.25">
      <c r="A29" s="253" t="s">
        <v>586</v>
      </c>
      <c r="B29" s="158">
        <v>500000</v>
      </c>
      <c r="C29" s="158">
        <v>1000000</v>
      </c>
      <c r="D29" s="158"/>
      <c r="E29" s="358">
        <f t="shared" si="8"/>
        <v>1000000</v>
      </c>
      <c r="F29" s="91">
        <v>-1000000</v>
      </c>
      <c r="G29" s="158">
        <f t="shared" si="9"/>
        <v>0</v>
      </c>
      <c r="H29" s="158">
        <v>1000000</v>
      </c>
      <c r="I29" s="386">
        <v>1000000</v>
      </c>
    </row>
    <row r="30" spans="1:9" s="475" customFormat="1" x14ac:dyDescent="0.25">
      <c r="A30" s="253" t="s">
        <v>659</v>
      </c>
      <c r="B30" s="158">
        <v>650000</v>
      </c>
      <c r="C30" s="158">
        <v>1000000</v>
      </c>
      <c r="D30" s="158"/>
      <c r="E30" s="358">
        <f t="shared" si="8"/>
        <v>1000000</v>
      </c>
      <c r="F30" s="91">
        <v>-700000</v>
      </c>
      <c r="G30" s="158">
        <f t="shared" si="9"/>
        <v>300000</v>
      </c>
      <c r="H30" s="158">
        <v>0</v>
      </c>
      <c r="I30" s="386">
        <v>0</v>
      </c>
    </row>
    <row r="31" spans="1:9" s="475" customFormat="1" x14ac:dyDescent="0.25">
      <c r="A31" s="253" t="s">
        <v>660</v>
      </c>
      <c r="B31" s="254">
        <v>450000</v>
      </c>
      <c r="C31" s="254">
        <v>1000000</v>
      </c>
      <c r="D31" s="254"/>
      <c r="E31" s="358">
        <f t="shared" si="8"/>
        <v>1000000</v>
      </c>
      <c r="F31" s="91">
        <v>-1000000</v>
      </c>
      <c r="G31" s="158">
        <f t="shared" si="9"/>
        <v>0</v>
      </c>
      <c r="H31" s="158">
        <v>0</v>
      </c>
      <c r="I31" s="386">
        <v>0</v>
      </c>
    </row>
    <row r="32" spans="1:9" s="475" customFormat="1" x14ac:dyDescent="0.25">
      <c r="A32" s="253" t="s">
        <v>762</v>
      </c>
      <c r="B32" s="254">
        <v>50000</v>
      </c>
      <c r="C32" s="254">
        <v>1000000</v>
      </c>
      <c r="D32" s="254"/>
      <c r="E32" s="358">
        <f t="shared" si="8"/>
        <v>1000000</v>
      </c>
      <c r="F32" s="91">
        <v>-700000</v>
      </c>
      <c r="G32" s="158">
        <f t="shared" si="9"/>
        <v>300000</v>
      </c>
      <c r="H32" s="158">
        <v>0</v>
      </c>
      <c r="I32" s="386">
        <v>0</v>
      </c>
    </row>
    <row r="33" spans="1:9" s="475" customFormat="1" x14ac:dyDescent="0.25">
      <c r="A33" s="253" t="s">
        <v>662</v>
      </c>
      <c r="B33" s="254"/>
      <c r="C33" s="254">
        <v>1000000</v>
      </c>
      <c r="D33" s="254"/>
      <c r="E33" s="358">
        <f t="shared" si="8"/>
        <v>1000000</v>
      </c>
      <c r="F33" s="91">
        <v>-700000</v>
      </c>
      <c r="G33" s="158">
        <f t="shared" si="9"/>
        <v>300000</v>
      </c>
      <c r="H33" s="158">
        <v>0</v>
      </c>
      <c r="I33" s="386">
        <v>0</v>
      </c>
    </row>
    <row r="34" spans="1:9" x14ac:dyDescent="0.25">
      <c r="A34" s="253" t="s">
        <v>661</v>
      </c>
      <c r="B34" s="254">
        <v>500000</v>
      </c>
      <c r="C34" s="254">
        <v>1000000</v>
      </c>
      <c r="D34" s="254"/>
      <c r="E34" s="358">
        <f t="shared" si="8"/>
        <v>1000000</v>
      </c>
      <c r="F34" s="91">
        <v>-700000</v>
      </c>
      <c r="G34" s="158">
        <f t="shared" si="9"/>
        <v>300000</v>
      </c>
      <c r="H34" s="158">
        <v>0</v>
      </c>
      <c r="I34" s="386">
        <v>0</v>
      </c>
    </row>
    <row r="35" spans="1:9" x14ac:dyDescent="0.25">
      <c r="A35" s="710" t="s">
        <v>847</v>
      </c>
      <c r="B35" s="254"/>
      <c r="C35" s="811"/>
      <c r="D35" s="254"/>
      <c r="E35" s="358"/>
      <c r="F35" s="91">
        <v>200000</v>
      </c>
      <c r="G35" s="158">
        <f t="shared" si="9"/>
        <v>200000</v>
      </c>
      <c r="H35" s="158">
        <v>0</v>
      </c>
      <c r="I35" s="239">
        <v>0</v>
      </c>
    </row>
    <row r="36" spans="1:9" x14ac:dyDescent="0.25">
      <c r="A36" s="710" t="s">
        <v>848</v>
      </c>
      <c r="B36" s="254"/>
      <c r="C36" s="811"/>
      <c r="D36" s="254"/>
      <c r="E36" s="358"/>
      <c r="F36" s="91">
        <v>150000</v>
      </c>
      <c r="G36" s="158">
        <f t="shared" si="9"/>
        <v>150000</v>
      </c>
      <c r="H36" s="158">
        <v>0</v>
      </c>
      <c r="I36" s="239">
        <v>0</v>
      </c>
    </row>
    <row r="37" spans="1:9" s="211" customFormat="1" x14ac:dyDescent="0.25">
      <c r="A37" s="424" t="s">
        <v>42</v>
      </c>
      <c r="B37" s="246">
        <f>SUM(B25:B34)</f>
        <v>2600000</v>
      </c>
      <c r="C37" s="246">
        <f>SUM(C24:C36)</f>
        <v>8123190.5625</v>
      </c>
      <c r="D37" s="246">
        <f t="shared" ref="D37:I37" si="11">SUM(D24:D36)</f>
        <v>3519</v>
      </c>
      <c r="E37" s="246">
        <f t="shared" si="11"/>
        <v>8119671.5625</v>
      </c>
      <c r="F37" s="246">
        <f t="shared" si="11"/>
        <v>-5850000</v>
      </c>
      <c r="G37" s="246">
        <f t="shared" si="11"/>
        <v>2273190.5625</v>
      </c>
      <c r="H37" s="246">
        <f t="shared" si="11"/>
        <v>2130889.97265625</v>
      </c>
      <c r="I37" s="246">
        <f t="shared" si="11"/>
        <v>2139070.5959472656</v>
      </c>
    </row>
    <row r="38" spans="1:9" x14ac:dyDescent="0.25">
      <c r="A38" s="424"/>
      <c r="B38" s="246"/>
      <c r="H38" s="246"/>
      <c r="I38" s="386">
        <f>H38*6.9%+H38</f>
        <v>0</v>
      </c>
    </row>
    <row r="39" spans="1:9" s="211" customFormat="1" ht="15.75" thickBot="1" x14ac:dyDescent="0.3">
      <c r="A39" s="426" t="s">
        <v>46</v>
      </c>
      <c r="B39" s="392">
        <f>B9+B16+B19+B22+B37</f>
        <v>4494643</v>
      </c>
      <c r="C39" s="392">
        <f>SUM(C9,C16,C37)</f>
        <v>10211126.1875</v>
      </c>
      <c r="D39" s="392">
        <f>SUM(D9,D16,D37)</f>
        <v>1101986</v>
      </c>
      <c r="E39" s="392">
        <f>SUM(E9,E16,E37)</f>
        <v>9109140.1875</v>
      </c>
      <c r="F39" s="392">
        <f t="shared" ref="F39:G39" si="12">SUM(F9,F16,F37)</f>
        <v>-5850000</v>
      </c>
      <c r="G39" s="392">
        <f t="shared" si="12"/>
        <v>4361126.1875</v>
      </c>
      <c r="H39" s="392">
        <f>SUM(H9,H16,H37)</f>
        <v>4349383.9742187504</v>
      </c>
      <c r="I39" s="392">
        <f>SUM(I9,I16,I37)</f>
        <v>4496287.1782074217</v>
      </c>
    </row>
  </sheetData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Header>&amp;C&amp;P</oddHeader>
    <oddFooter>&amp;C&amp;A&amp;RPage &amp;P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6"/>
  <sheetViews>
    <sheetView view="pageBreakPreview" topLeftCell="A23" zoomScaleNormal="100" zoomScaleSheetLayoutView="100" workbookViewId="0">
      <selection activeCell="F34" sqref="F34"/>
    </sheetView>
  </sheetViews>
  <sheetFormatPr defaultColWidth="9.28515625" defaultRowHeight="15" x14ac:dyDescent="0.25"/>
  <cols>
    <col min="1" max="1" width="39" style="272" customWidth="1"/>
    <col min="2" max="2" width="14.42578125" style="243" hidden="1" customWidth="1"/>
    <col min="3" max="5" width="15.140625" style="243" customWidth="1"/>
    <col min="6" max="6" width="12" style="243" customWidth="1"/>
    <col min="7" max="7" width="13.28515625" style="243" customWidth="1"/>
    <col min="8" max="8" width="19.7109375" style="243" customWidth="1"/>
    <col min="9" max="9" width="21.42578125" style="352" customWidth="1"/>
    <col min="10" max="16384" width="9.28515625" style="97"/>
  </cols>
  <sheetData>
    <row r="1" spans="1:9" ht="18.75" x14ac:dyDescent="0.3">
      <c r="A1" s="515" t="s">
        <v>547</v>
      </c>
      <c r="B1" s="363"/>
      <c r="C1" s="363"/>
      <c r="D1" s="363"/>
      <c r="E1" s="363"/>
      <c r="F1" s="363"/>
      <c r="G1" s="363"/>
      <c r="H1" s="363"/>
    </row>
    <row r="2" spans="1:9" ht="16.5" thickBot="1" x14ac:dyDescent="0.3">
      <c r="A2" s="520"/>
      <c r="B2" s="364"/>
      <c r="C2" s="364"/>
      <c r="D2" s="364"/>
      <c r="E2" s="364"/>
      <c r="F2" s="364"/>
      <c r="G2" s="364"/>
      <c r="H2" s="364"/>
    </row>
    <row r="3" spans="1:9" ht="38.25" customHeight="1" thickBot="1" x14ac:dyDescent="0.3">
      <c r="A3" s="521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84" t="s">
        <v>556</v>
      </c>
      <c r="I3" s="408" t="s">
        <v>644</v>
      </c>
    </row>
    <row r="4" spans="1:9" s="475" customFormat="1" x14ac:dyDescent="0.25">
      <c r="A4" s="253" t="s">
        <v>2</v>
      </c>
      <c r="B4" s="158">
        <v>1515402</v>
      </c>
      <c r="C4" s="158">
        <f>B4*6.25%+B4</f>
        <v>1610114.625</v>
      </c>
      <c r="D4" s="158">
        <v>926424</v>
      </c>
      <c r="E4" s="158">
        <f>C4-D4</f>
        <v>683690.625</v>
      </c>
      <c r="F4" s="91"/>
      <c r="G4" s="158">
        <f>C4+F4</f>
        <v>1610114.625</v>
      </c>
      <c r="H4" s="158">
        <f>C4*6.25%+C4</f>
        <v>1710746.7890625</v>
      </c>
      <c r="I4" s="386">
        <f>H4*6.25%+H4</f>
        <v>1817668.4633789063</v>
      </c>
    </row>
    <row r="5" spans="1:9" s="475" customFormat="1" x14ac:dyDescent="0.25">
      <c r="A5" s="253" t="s">
        <v>803</v>
      </c>
      <c r="B5" s="158"/>
      <c r="C5" s="158">
        <v>0</v>
      </c>
      <c r="D5" s="158">
        <v>475002</v>
      </c>
      <c r="E5" s="158">
        <f t="shared" ref="E5:E10" si="0">C5-D5</f>
        <v>-475002</v>
      </c>
      <c r="F5" s="91"/>
      <c r="G5" s="158">
        <f>C5+F5</f>
        <v>0</v>
      </c>
      <c r="H5" s="158"/>
      <c r="I5" s="386"/>
    </row>
    <row r="6" spans="1:9" s="475" customFormat="1" x14ac:dyDescent="0.25">
      <c r="A6" s="253" t="s">
        <v>3</v>
      </c>
      <c r="B6" s="158">
        <v>34170</v>
      </c>
      <c r="C6" s="158">
        <f>B6*6.25%+B6</f>
        <v>36305.625</v>
      </c>
      <c r="D6" s="158">
        <v>41101</v>
      </c>
      <c r="E6" s="158">
        <f t="shared" si="0"/>
        <v>-4795.375</v>
      </c>
      <c r="F6" s="91"/>
      <c r="G6" s="158">
        <f t="shared" ref="G6:G10" si="1">C6+F6</f>
        <v>36305.625</v>
      </c>
      <c r="H6" s="158">
        <f>C6*6.25%+C6</f>
        <v>38574.7265625</v>
      </c>
      <c r="I6" s="386">
        <f t="shared" ref="I6:I9" si="2">H6*6.25%+H6</f>
        <v>40985.64697265625</v>
      </c>
    </row>
    <row r="7" spans="1:9" s="475" customFormat="1" x14ac:dyDescent="0.25">
      <c r="A7" s="253" t="s">
        <v>4</v>
      </c>
      <c r="B7" s="158">
        <v>9600</v>
      </c>
      <c r="C7" s="158">
        <f>B7*6.25%+B7</f>
        <v>10200</v>
      </c>
      <c r="D7" s="158">
        <v>15432</v>
      </c>
      <c r="E7" s="158">
        <f t="shared" si="0"/>
        <v>-5232</v>
      </c>
      <c r="F7" s="91"/>
      <c r="G7" s="158">
        <f t="shared" si="1"/>
        <v>10200</v>
      </c>
      <c r="H7" s="158">
        <f>C7*6.25%+C7</f>
        <v>10837.5</v>
      </c>
      <c r="I7" s="386">
        <f t="shared" si="2"/>
        <v>11514.84375</v>
      </c>
    </row>
    <row r="8" spans="1:9" s="475" customFormat="1" x14ac:dyDescent="0.25">
      <c r="A8" s="253" t="s">
        <v>173</v>
      </c>
      <c r="B8" s="158"/>
      <c r="C8" s="158">
        <v>76460</v>
      </c>
      <c r="D8" s="158"/>
      <c r="E8" s="158">
        <f t="shared" si="0"/>
        <v>76460</v>
      </c>
      <c r="F8" s="91">
        <v>0</v>
      </c>
      <c r="G8" s="158">
        <f t="shared" si="1"/>
        <v>76460</v>
      </c>
      <c r="H8" s="158">
        <f>C8*6.25%+C8</f>
        <v>81238.75</v>
      </c>
      <c r="I8" s="386">
        <f>H8*6.25%+H8</f>
        <v>86316.171875</v>
      </c>
    </row>
    <row r="9" spans="1:9" s="475" customFormat="1" x14ac:dyDescent="0.25">
      <c r="A9" s="253" t="s">
        <v>5</v>
      </c>
      <c r="B9" s="158">
        <v>45432</v>
      </c>
      <c r="C9" s="158">
        <f>B9*6.25%+B9</f>
        <v>48271.5</v>
      </c>
      <c r="D9" s="158">
        <v>215658</v>
      </c>
      <c r="E9" s="158">
        <f t="shared" si="0"/>
        <v>-167386.5</v>
      </c>
      <c r="F9" s="91"/>
      <c r="G9" s="158">
        <f t="shared" si="1"/>
        <v>48271.5</v>
      </c>
      <c r="H9" s="158">
        <f>C9*6.25%+C9</f>
        <v>51288.46875</v>
      </c>
      <c r="I9" s="386">
        <f t="shared" si="2"/>
        <v>54493.998046875</v>
      </c>
    </row>
    <row r="10" spans="1:9" s="475" customFormat="1" x14ac:dyDescent="0.25">
      <c r="A10" s="253" t="s">
        <v>804</v>
      </c>
      <c r="B10" s="158"/>
      <c r="C10" s="158"/>
      <c r="D10" s="158">
        <v>25000</v>
      </c>
      <c r="E10" s="158">
        <f t="shared" si="0"/>
        <v>-25000</v>
      </c>
      <c r="F10" s="91"/>
      <c r="G10" s="158">
        <f t="shared" si="1"/>
        <v>0</v>
      </c>
      <c r="H10" s="158">
        <v>0</v>
      </c>
      <c r="I10" s="386">
        <v>0</v>
      </c>
    </row>
    <row r="11" spans="1:9" s="476" customFormat="1" x14ac:dyDescent="0.25">
      <c r="A11" s="424" t="s">
        <v>40</v>
      </c>
      <c r="B11" s="246">
        <f>SUM(B4:B9)</f>
        <v>1604604</v>
      </c>
      <c r="C11" s="246">
        <f>SUM(C4:C10)</f>
        <v>1781351.75</v>
      </c>
      <c r="D11" s="246">
        <f t="shared" ref="D11:G11" si="3">SUM(D4:D10)</f>
        <v>1698617</v>
      </c>
      <c r="E11" s="246">
        <f t="shared" si="3"/>
        <v>82734.75</v>
      </c>
      <c r="F11" s="246">
        <f t="shared" si="3"/>
        <v>0</v>
      </c>
      <c r="G11" s="246">
        <f t="shared" si="3"/>
        <v>1781351.75</v>
      </c>
      <c r="H11" s="246">
        <f t="shared" ref="H11" si="4">SUM(H4:H10)</f>
        <v>1892686.234375</v>
      </c>
      <c r="I11" s="246">
        <f t="shared" ref="I11" si="5">SUM(I4:I10)</f>
        <v>2010979.1240234375</v>
      </c>
    </row>
    <row r="12" spans="1:9" s="475" customFormat="1" x14ac:dyDescent="0.25">
      <c r="A12" s="253"/>
      <c r="B12" s="158"/>
      <c r="C12" s="158"/>
      <c r="D12" s="158"/>
      <c r="E12" s="158"/>
      <c r="F12" s="158"/>
      <c r="G12" s="158"/>
      <c r="H12" s="158"/>
      <c r="I12" s="386">
        <f>H12*6.9%+H12</f>
        <v>0</v>
      </c>
    </row>
    <row r="13" spans="1:9" s="475" customFormat="1" x14ac:dyDescent="0.25">
      <c r="A13" s="253" t="s">
        <v>6</v>
      </c>
      <c r="B13" s="158">
        <v>125604</v>
      </c>
      <c r="C13" s="158">
        <f t="shared" ref="C13:I15" si="6">B13*6.25%+B13</f>
        <v>133454.25</v>
      </c>
      <c r="D13" s="158">
        <v>69566</v>
      </c>
      <c r="E13" s="158">
        <f t="shared" ref="E13:E17" si="7">C13-D13</f>
        <v>63888.25</v>
      </c>
      <c r="F13" s="91">
        <v>0</v>
      </c>
      <c r="G13" s="158">
        <f t="shared" ref="G13:G18" si="8">C13+F13</f>
        <v>133454.25</v>
      </c>
      <c r="H13" s="158">
        <f>C13*6.25%+C13</f>
        <v>141795.140625</v>
      </c>
      <c r="I13" s="386">
        <f t="shared" si="6"/>
        <v>150657.3369140625</v>
      </c>
    </row>
    <row r="14" spans="1:9" s="475" customFormat="1" x14ac:dyDescent="0.25">
      <c r="A14" s="253" t="s">
        <v>7</v>
      </c>
      <c r="B14" s="158">
        <v>15154</v>
      </c>
      <c r="C14" s="158">
        <f t="shared" si="6"/>
        <v>16101.125</v>
      </c>
      <c r="D14" s="158">
        <v>7405</v>
      </c>
      <c r="E14" s="158">
        <f t="shared" si="7"/>
        <v>8696.125</v>
      </c>
      <c r="F14" s="91">
        <v>0</v>
      </c>
      <c r="G14" s="158">
        <f t="shared" si="8"/>
        <v>16101.125</v>
      </c>
      <c r="H14" s="158">
        <f>C14*6.25%+C14</f>
        <v>17107.4453125</v>
      </c>
      <c r="I14" s="386">
        <f t="shared" si="6"/>
        <v>18176.66064453125</v>
      </c>
    </row>
    <row r="15" spans="1:9" s="475" customFormat="1" x14ac:dyDescent="0.25">
      <c r="A15" s="253" t="s">
        <v>8</v>
      </c>
      <c r="B15" s="158">
        <v>150978</v>
      </c>
      <c r="C15" s="158">
        <f t="shared" si="6"/>
        <v>160414.125</v>
      </c>
      <c r="D15" s="158">
        <v>178636</v>
      </c>
      <c r="E15" s="158">
        <f t="shared" si="7"/>
        <v>-18221.875</v>
      </c>
      <c r="F15" s="91">
        <v>50000</v>
      </c>
      <c r="G15" s="158">
        <f t="shared" si="8"/>
        <v>210414.125</v>
      </c>
      <c r="H15" s="158">
        <f>C15*6.25%+C15</f>
        <v>170440.0078125</v>
      </c>
      <c r="I15" s="386">
        <f t="shared" si="6"/>
        <v>181092.50830078125</v>
      </c>
    </row>
    <row r="16" spans="1:9" s="475" customFormat="1" x14ac:dyDescent="0.25">
      <c r="A16" s="253" t="s">
        <v>802</v>
      </c>
      <c r="B16" s="158"/>
      <c r="C16" s="158">
        <v>0</v>
      </c>
      <c r="D16" s="158">
        <v>5000</v>
      </c>
      <c r="E16" s="158">
        <f t="shared" si="7"/>
        <v>-5000</v>
      </c>
      <c r="F16" s="91">
        <v>12000</v>
      </c>
      <c r="G16" s="158">
        <f t="shared" si="8"/>
        <v>12000</v>
      </c>
      <c r="H16" s="158">
        <v>0</v>
      </c>
      <c r="I16" s="386">
        <v>0</v>
      </c>
    </row>
    <row r="17" spans="1:9" x14ac:dyDescent="0.25">
      <c r="A17" s="96" t="s">
        <v>396</v>
      </c>
      <c r="B17" s="91">
        <v>0</v>
      </c>
      <c r="C17" s="91">
        <v>14969</v>
      </c>
      <c r="D17" s="91"/>
      <c r="E17" s="158">
        <f t="shared" si="7"/>
        <v>14969</v>
      </c>
      <c r="F17" s="91">
        <v>0</v>
      </c>
      <c r="G17" s="158">
        <f t="shared" si="8"/>
        <v>14969</v>
      </c>
      <c r="H17" s="91">
        <v>16001.861000000001</v>
      </c>
      <c r="I17" s="404">
        <v>17105.989409000002</v>
      </c>
    </row>
    <row r="18" spans="1:9" s="475" customFormat="1" x14ac:dyDescent="0.25">
      <c r="A18" s="785" t="s">
        <v>872</v>
      </c>
      <c r="B18" s="158">
        <v>15154</v>
      </c>
      <c r="C18" s="158">
        <v>0</v>
      </c>
      <c r="D18" s="158">
        <v>0</v>
      </c>
      <c r="E18" s="158">
        <v>0</v>
      </c>
      <c r="F18" s="158">
        <v>108</v>
      </c>
      <c r="G18" s="158">
        <f t="shared" si="8"/>
        <v>108</v>
      </c>
      <c r="H18" s="158">
        <v>0</v>
      </c>
      <c r="I18" s="752">
        <v>0</v>
      </c>
    </row>
    <row r="19" spans="1:9" s="476" customFormat="1" x14ac:dyDescent="0.25">
      <c r="A19" s="424" t="s">
        <v>41</v>
      </c>
      <c r="B19" s="246">
        <f>SUM(B13:B18)</f>
        <v>306890</v>
      </c>
      <c r="C19" s="246">
        <f>SUM(C13:C18)</f>
        <v>324938.5</v>
      </c>
      <c r="D19" s="246">
        <f>SUM(D13:D18)</f>
        <v>260607</v>
      </c>
      <c r="E19" s="246">
        <f>SUM(E13:E18)</f>
        <v>64331.5</v>
      </c>
      <c r="F19" s="246">
        <f t="shared" ref="F19:G19" si="9">SUM(F13:F18)</f>
        <v>62108</v>
      </c>
      <c r="G19" s="246">
        <f t="shared" si="9"/>
        <v>387046.5</v>
      </c>
      <c r="H19" s="246">
        <f>SUM(H13:H18)</f>
        <v>345344.45474999998</v>
      </c>
      <c r="I19" s="246">
        <f>SUM(I13:I18)</f>
        <v>367032.49526837503</v>
      </c>
    </row>
    <row r="20" spans="1:9" s="476" customFormat="1" x14ac:dyDescent="0.25">
      <c r="A20" s="477"/>
      <c r="B20" s="246"/>
      <c r="C20" s="246"/>
      <c r="D20" s="246"/>
      <c r="E20" s="246"/>
      <c r="F20" s="246"/>
      <c r="G20" s="246"/>
      <c r="H20" s="246"/>
      <c r="I20" s="246"/>
    </row>
    <row r="21" spans="1:9" s="476" customFormat="1" x14ac:dyDescent="0.25">
      <c r="A21" s="477"/>
      <c r="B21" s="246"/>
      <c r="C21" s="246"/>
      <c r="D21" s="246"/>
      <c r="E21" s="246"/>
      <c r="F21" s="246"/>
      <c r="G21" s="246"/>
      <c r="H21" s="246"/>
      <c r="I21" s="386"/>
    </row>
    <row r="22" spans="1:9" x14ac:dyDescent="0.25">
      <c r="A22" s="253" t="s">
        <v>211</v>
      </c>
      <c r="B22" s="160">
        <v>213849</v>
      </c>
      <c r="C22" s="158">
        <f>B22*4.5%+B22</f>
        <v>223472.20499999999</v>
      </c>
      <c r="D22" s="158"/>
      <c r="E22" s="158">
        <f t="shared" ref="E22" si="10">C22-D22</f>
        <v>223472.20499999999</v>
      </c>
      <c r="F22" s="91">
        <v>0</v>
      </c>
      <c r="G22" s="158">
        <f t="shared" ref="G22" si="11">C22+F22</f>
        <v>223472.20499999999</v>
      </c>
      <c r="H22" s="158">
        <f>C22*6.25%+C22</f>
        <v>237439.21781249999</v>
      </c>
      <c r="I22" s="386">
        <f>H22*6.25%+H22</f>
        <v>252279.16892578124</v>
      </c>
    </row>
    <row r="23" spans="1:9" x14ac:dyDescent="0.25">
      <c r="A23" s="424" t="s">
        <v>211</v>
      </c>
      <c r="B23" s="246">
        <f>B22</f>
        <v>213849</v>
      </c>
      <c r="C23" s="246">
        <f>SUM(C22)</f>
        <v>223472.20499999999</v>
      </c>
      <c r="D23" s="246">
        <f>SUM(D22)</f>
        <v>0</v>
      </c>
      <c r="E23" s="246">
        <f>SUM(E22)</f>
        <v>223472.20499999999</v>
      </c>
      <c r="F23" s="246">
        <f t="shared" ref="F23:G23" si="12">SUM(F22)</f>
        <v>0</v>
      </c>
      <c r="G23" s="246">
        <f t="shared" si="12"/>
        <v>223472.20499999999</v>
      </c>
      <c r="H23" s="246">
        <f>SUM(H22)</f>
        <v>237439.21781249999</v>
      </c>
      <c r="I23" s="246">
        <f>SUM(I22)</f>
        <v>252279.16892578124</v>
      </c>
    </row>
    <row r="24" spans="1:9" s="211" customFormat="1" x14ac:dyDescent="0.25">
      <c r="A24" s="477"/>
      <c r="B24" s="246"/>
      <c r="C24" s="246"/>
      <c r="D24" s="246"/>
      <c r="E24" s="246"/>
      <c r="F24" s="246"/>
      <c r="G24" s="246"/>
      <c r="H24" s="246"/>
      <c r="I24" s="386"/>
    </row>
    <row r="25" spans="1:9" s="93" customFormat="1" x14ac:dyDescent="0.25">
      <c r="A25" s="253" t="s">
        <v>20</v>
      </c>
      <c r="B25" s="158">
        <v>6000</v>
      </c>
      <c r="C25" s="158">
        <f>B25*6.25%+B25</f>
        <v>6375</v>
      </c>
      <c r="D25" s="158"/>
      <c r="E25" s="158">
        <f t="shared" ref="E25" si="13">C25-D25</f>
        <v>6375</v>
      </c>
      <c r="F25" s="805">
        <v>0</v>
      </c>
      <c r="G25" s="158">
        <f t="shared" ref="G25" si="14">C25+F25</f>
        <v>6375</v>
      </c>
      <c r="H25" s="158">
        <f>C25*6.25%+C25</f>
        <v>6773.4375</v>
      </c>
      <c r="I25" s="386">
        <f>H25*6.25%+H25</f>
        <v>7196.77734375</v>
      </c>
    </row>
    <row r="26" spans="1:9" s="167" customFormat="1" x14ac:dyDescent="0.25">
      <c r="A26" s="424" t="s">
        <v>43</v>
      </c>
      <c r="B26" s="246">
        <f>SUM(B25:B25)</f>
        <v>6000</v>
      </c>
      <c r="C26" s="246">
        <f>SUM(C25:C25)</f>
        <v>6375</v>
      </c>
      <c r="D26" s="246">
        <f>SUM(D25:D25)</f>
        <v>0</v>
      </c>
      <c r="E26" s="246">
        <f>SUM(E25:E25)</f>
        <v>6375</v>
      </c>
      <c r="F26" s="806">
        <f t="shared" ref="F26:G26" si="15">SUM(F25:F25)</f>
        <v>0</v>
      </c>
      <c r="G26" s="246">
        <f t="shared" si="15"/>
        <v>6375</v>
      </c>
      <c r="H26" s="246">
        <f>SUM(H25:H25)</f>
        <v>6773.4375</v>
      </c>
      <c r="I26" s="246">
        <f>SUM(I25:I25)</f>
        <v>7196.77734375</v>
      </c>
    </row>
    <row r="27" spans="1:9" s="167" customFormat="1" x14ac:dyDescent="0.25">
      <c r="A27" s="477"/>
      <c r="B27" s="246"/>
      <c r="C27" s="246"/>
      <c r="D27" s="246"/>
      <c r="E27" s="246"/>
      <c r="F27" s="246"/>
      <c r="G27" s="246"/>
      <c r="H27" s="246"/>
      <c r="I27" s="387"/>
    </row>
    <row r="28" spans="1:9" x14ac:dyDescent="0.25">
      <c r="A28" s="253" t="s">
        <v>9</v>
      </c>
      <c r="B28" s="158"/>
      <c r="C28" s="158">
        <f>B18*6.25%+B18</f>
        <v>16101.125</v>
      </c>
      <c r="D28" s="158">
        <v>7031</v>
      </c>
      <c r="E28" s="158">
        <f t="shared" ref="E28:E32" si="16">C28-D28</f>
        <v>9070.125</v>
      </c>
      <c r="F28" s="805">
        <v>0</v>
      </c>
      <c r="G28" s="158">
        <f t="shared" ref="G28:G32" si="17">C28+F28</f>
        <v>16101.125</v>
      </c>
      <c r="H28" s="158">
        <f t="shared" ref="H28:H33" si="18">C28*6.25%+C28</f>
        <v>17107.4453125</v>
      </c>
      <c r="I28" s="386">
        <f>H28*6.25%+H28</f>
        <v>18176.66064453125</v>
      </c>
    </row>
    <row r="29" spans="1:9" s="93" customFormat="1" x14ac:dyDescent="0.25">
      <c r="A29" s="253" t="s">
        <v>24</v>
      </c>
      <c r="B29" s="158">
        <v>30000</v>
      </c>
      <c r="C29" s="158">
        <f>B29*4.5%+B29</f>
        <v>31350</v>
      </c>
      <c r="D29" s="158"/>
      <c r="E29" s="158">
        <f t="shared" si="16"/>
        <v>31350</v>
      </c>
      <c r="F29" s="91">
        <v>-15000</v>
      </c>
      <c r="G29" s="158">
        <f t="shared" si="17"/>
        <v>16350</v>
      </c>
      <c r="H29" s="158">
        <f t="shared" si="18"/>
        <v>33309.375</v>
      </c>
      <c r="I29" s="386">
        <f>H29*6.25%+H29</f>
        <v>35391.2109375</v>
      </c>
    </row>
    <row r="30" spans="1:9" s="93" customFormat="1" x14ac:dyDescent="0.25">
      <c r="A30" s="253" t="s">
        <v>63</v>
      </c>
      <c r="B30" s="158">
        <v>1000</v>
      </c>
      <c r="C30" s="158">
        <f>B30*4.5%+B30</f>
        <v>1045</v>
      </c>
      <c r="D30" s="158"/>
      <c r="E30" s="158">
        <f t="shared" si="16"/>
        <v>1045</v>
      </c>
      <c r="F30" s="91">
        <v>0</v>
      </c>
      <c r="G30" s="158">
        <f t="shared" si="17"/>
        <v>1045</v>
      </c>
      <c r="H30" s="158">
        <f t="shared" si="18"/>
        <v>1110.3125</v>
      </c>
      <c r="I30" s="386">
        <f t="shared" ref="I30:I32" si="19">H30*6.25%+H30</f>
        <v>1179.70703125</v>
      </c>
    </row>
    <row r="31" spans="1:9" s="93" customFormat="1" x14ac:dyDescent="0.25">
      <c r="A31" s="253" t="s">
        <v>59</v>
      </c>
      <c r="B31" s="158">
        <v>50000</v>
      </c>
      <c r="C31" s="158">
        <f>B31*4.5%+B31</f>
        <v>52250</v>
      </c>
      <c r="D31" s="158"/>
      <c r="E31" s="158">
        <f t="shared" si="16"/>
        <v>52250</v>
      </c>
      <c r="F31" s="91">
        <v>-35000</v>
      </c>
      <c r="G31" s="158">
        <f t="shared" si="17"/>
        <v>17250</v>
      </c>
      <c r="H31" s="158">
        <f t="shared" si="18"/>
        <v>55515.625</v>
      </c>
      <c r="I31" s="386">
        <f t="shared" si="19"/>
        <v>58985.3515625</v>
      </c>
    </row>
    <row r="32" spans="1:9" x14ac:dyDescent="0.25">
      <c r="A32" s="253" t="s">
        <v>51</v>
      </c>
      <c r="B32" s="158">
        <f>100000/2</f>
        <v>50000</v>
      </c>
      <c r="C32" s="158">
        <v>100000</v>
      </c>
      <c r="D32" s="158">
        <v>99</v>
      </c>
      <c r="E32" s="158">
        <f t="shared" si="16"/>
        <v>99901</v>
      </c>
      <c r="F32" s="805">
        <v>-70000</v>
      </c>
      <c r="G32" s="158">
        <f t="shared" si="17"/>
        <v>30000</v>
      </c>
      <c r="H32" s="158">
        <f t="shared" si="18"/>
        <v>106250</v>
      </c>
      <c r="I32" s="386">
        <f t="shared" si="19"/>
        <v>112890.625</v>
      </c>
    </row>
    <row r="33" spans="1:9" hidden="1" x14ac:dyDescent="0.25">
      <c r="A33" s="253" t="s">
        <v>397</v>
      </c>
      <c r="B33" s="158"/>
      <c r="C33" s="158">
        <f>B33*6.25%+B33</f>
        <v>0</v>
      </c>
      <c r="D33" s="158"/>
      <c r="E33" s="158"/>
      <c r="F33" s="158"/>
      <c r="G33" s="158"/>
      <c r="H33" s="158">
        <f t="shared" si="18"/>
        <v>0</v>
      </c>
      <c r="I33" s="386">
        <f>H33*6.25%+H33</f>
        <v>0</v>
      </c>
    </row>
    <row r="34" spans="1:9" s="211" customFormat="1" x14ac:dyDescent="0.25">
      <c r="A34" s="424" t="s">
        <v>42</v>
      </c>
      <c r="B34" s="246">
        <f>SUM(B29:B33)</f>
        <v>131000</v>
      </c>
      <c r="C34" s="246">
        <f>SUM(C28:C32)</f>
        <v>200746.125</v>
      </c>
      <c r="D34" s="246">
        <f>SUM(D28:D32)</f>
        <v>7130</v>
      </c>
      <c r="E34" s="246">
        <f>SUM(E28:E32)</f>
        <v>193616.125</v>
      </c>
      <c r="F34" s="246">
        <f t="shared" ref="F34:G34" si="20">SUM(F28:F32)</f>
        <v>-120000</v>
      </c>
      <c r="G34" s="246">
        <f t="shared" si="20"/>
        <v>80746.125</v>
      </c>
      <c r="H34" s="246">
        <f>SUM(H28:H32)</f>
        <v>213292.7578125</v>
      </c>
      <c r="I34" s="246">
        <f>SUM(I28:I32)</f>
        <v>226623.55517578125</v>
      </c>
    </row>
    <row r="35" spans="1:9" x14ac:dyDescent="0.25">
      <c r="A35" s="424"/>
      <c r="B35" s="246"/>
      <c r="C35" s="246"/>
      <c r="D35" s="246"/>
      <c r="E35" s="246"/>
      <c r="F35" s="246"/>
      <c r="G35" s="246"/>
      <c r="H35" s="246"/>
      <c r="I35" s="386"/>
    </row>
    <row r="36" spans="1:9" s="211" customFormat="1" ht="15.75" thickBot="1" x14ac:dyDescent="0.3">
      <c r="A36" s="426" t="s">
        <v>46</v>
      </c>
      <c r="B36" s="392">
        <f>B11+B19+B23+B26+B34</f>
        <v>2262343</v>
      </c>
      <c r="C36" s="392">
        <f>SUM(C11,C19,C23,C26,C34)</f>
        <v>2536883.58</v>
      </c>
      <c r="D36" s="392">
        <f>SUM(D11,D19,D23,D26,D34)</f>
        <v>1966354</v>
      </c>
      <c r="E36" s="392">
        <f>SUM(E11,E19,E23,E26,E34)</f>
        <v>570529.57999999996</v>
      </c>
      <c r="F36" s="392">
        <f t="shared" ref="F36:G36" si="21">SUM(F11,F19,F23,F26,F34)</f>
        <v>-57892</v>
      </c>
      <c r="G36" s="392">
        <f t="shared" si="21"/>
        <v>2478991.58</v>
      </c>
      <c r="H36" s="392">
        <f>SUM(H11,H19,H23,H26,H34)</f>
        <v>2695536.10225</v>
      </c>
      <c r="I36" s="392">
        <f>SUM(I11,I19,I23,I26,I34)</f>
        <v>2864111.1207371252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Header>&amp;C&amp;P</oddHeader>
    <oddFooter>&amp;C&amp;A&amp;RPage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48"/>
  <sheetViews>
    <sheetView view="pageBreakPreview" topLeftCell="A32" zoomScale="90" zoomScaleNormal="69" zoomScaleSheetLayoutView="90" workbookViewId="0">
      <selection activeCell="F32" sqref="F32"/>
    </sheetView>
  </sheetViews>
  <sheetFormatPr defaultColWidth="9.28515625" defaultRowHeight="15" x14ac:dyDescent="0.25"/>
  <cols>
    <col min="1" max="1" width="57.7109375" style="352" customWidth="1"/>
    <col min="2" max="2" width="0.140625" style="523" customWidth="1"/>
    <col min="3" max="5" width="19.7109375" style="247" customWidth="1"/>
    <col min="6" max="6" width="19.7109375" style="693" customWidth="1"/>
    <col min="7" max="7" width="16.7109375" style="693" customWidth="1"/>
    <col min="8" max="8" width="17.7109375" style="247" customWidth="1"/>
    <col min="9" max="9" width="15.85546875" style="352" customWidth="1"/>
    <col min="10" max="16384" width="9.28515625" style="97"/>
  </cols>
  <sheetData>
    <row r="1" spans="1:9" hidden="1" x14ac:dyDescent="0.25"/>
    <row r="2" spans="1:9" s="93" customFormat="1" ht="18.75" x14ac:dyDescent="0.3">
      <c r="A2" s="515" t="s">
        <v>548</v>
      </c>
      <c r="B2" s="524"/>
      <c r="C2" s="362"/>
      <c r="D2" s="362"/>
      <c r="E2" s="362"/>
      <c r="F2" s="694"/>
      <c r="G2" s="694"/>
      <c r="H2" s="362"/>
      <c r="I2" s="272"/>
    </row>
    <row r="3" spans="1:9" s="93" customFormat="1" ht="16.5" thickBot="1" x14ac:dyDescent="0.3">
      <c r="A3" s="525"/>
      <c r="B3" s="526"/>
      <c r="C3" s="367"/>
      <c r="D3" s="367"/>
      <c r="E3" s="367"/>
      <c r="F3" s="695"/>
      <c r="G3" s="695"/>
      <c r="H3" s="367"/>
      <c r="I3" s="272"/>
    </row>
    <row r="4" spans="1:9" s="93" customFormat="1" ht="40.5" customHeight="1" thickBot="1" x14ac:dyDescent="0.3">
      <c r="A4" s="517" t="s">
        <v>39</v>
      </c>
      <c r="B4" s="384" t="s">
        <v>393</v>
      </c>
      <c r="C4" s="384" t="s">
        <v>442</v>
      </c>
      <c r="D4" s="604" t="s">
        <v>800</v>
      </c>
      <c r="E4" s="715" t="s">
        <v>87</v>
      </c>
      <c r="F4" s="605" t="s">
        <v>164</v>
      </c>
      <c r="G4" s="605" t="s">
        <v>789</v>
      </c>
      <c r="H4" s="409" t="s">
        <v>556</v>
      </c>
      <c r="I4" s="408" t="s">
        <v>644</v>
      </c>
    </row>
    <row r="5" spans="1:9" s="469" customFormat="1" x14ac:dyDescent="0.25">
      <c r="A5" s="253" t="s">
        <v>2</v>
      </c>
      <c r="B5" s="527">
        <v>1029704</v>
      </c>
      <c r="C5" s="239">
        <f>B5*6.25%+B5</f>
        <v>1094060.5</v>
      </c>
      <c r="D5" s="239"/>
      <c r="E5" s="239">
        <f>C5-D5</f>
        <v>1094060.5</v>
      </c>
      <c r="F5" s="158">
        <v>0</v>
      </c>
      <c r="G5" s="696">
        <f>C5+F5</f>
        <v>1094060.5</v>
      </c>
      <c r="H5" s="239">
        <f>C5*6.25%+C5</f>
        <v>1162439.28125</v>
      </c>
      <c r="I5" s="386">
        <f>H5*6.25%+H5</f>
        <v>1235091.736328125</v>
      </c>
    </row>
    <row r="6" spans="1:9" s="469" customFormat="1" x14ac:dyDescent="0.25">
      <c r="A6" s="253" t="s">
        <v>3</v>
      </c>
      <c r="B6" s="527">
        <v>85809</v>
      </c>
      <c r="C6" s="239">
        <f t="shared" ref="C6:I8" si="0">B6*6.25%+B6</f>
        <v>91172.0625</v>
      </c>
      <c r="D6" s="239"/>
      <c r="E6" s="239">
        <f t="shared" ref="E6:E9" si="1">C6-D6</f>
        <v>91172.0625</v>
      </c>
      <c r="F6" s="158">
        <v>0</v>
      </c>
      <c r="G6" s="696">
        <f t="shared" ref="G6:G16" si="2">C6+F6</f>
        <v>91172.0625</v>
      </c>
      <c r="H6" s="239">
        <f>C6*6.25%+C6</f>
        <v>96870.31640625</v>
      </c>
      <c r="I6" s="386">
        <f t="shared" si="0"/>
        <v>102924.71118164063</v>
      </c>
    </row>
    <row r="7" spans="1:9" s="469" customFormat="1" x14ac:dyDescent="0.25">
      <c r="A7" s="253" t="s">
        <v>4</v>
      </c>
      <c r="B7" s="527">
        <v>9600</v>
      </c>
      <c r="C7" s="239">
        <f t="shared" si="0"/>
        <v>10200</v>
      </c>
      <c r="D7" s="239"/>
      <c r="E7" s="239">
        <f t="shared" si="1"/>
        <v>10200</v>
      </c>
      <c r="F7" s="158">
        <v>0</v>
      </c>
      <c r="G7" s="696">
        <f t="shared" si="2"/>
        <v>10200</v>
      </c>
      <c r="H7" s="239">
        <f>C7*6.25%+C7</f>
        <v>10837.5</v>
      </c>
      <c r="I7" s="386">
        <f t="shared" si="0"/>
        <v>11514.84375</v>
      </c>
    </row>
    <row r="8" spans="1:9" s="469" customFormat="1" x14ac:dyDescent="0.25">
      <c r="A8" s="253" t="s">
        <v>5</v>
      </c>
      <c r="B8" s="527">
        <v>439097</v>
      </c>
      <c r="C8" s="239">
        <f t="shared" si="0"/>
        <v>466540.5625</v>
      </c>
      <c r="D8" s="239"/>
      <c r="E8" s="239">
        <f t="shared" si="1"/>
        <v>466540.5625</v>
      </c>
      <c r="F8" s="158">
        <v>0</v>
      </c>
      <c r="G8" s="696">
        <f t="shared" si="2"/>
        <v>466540.5625</v>
      </c>
      <c r="H8" s="239">
        <f>C8*6.25%+C8</f>
        <v>495699.34765625</v>
      </c>
      <c r="I8" s="386">
        <f t="shared" si="0"/>
        <v>526680.55688476563</v>
      </c>
    </row>
    <row r="9" spans="1:9" s="469" customFormat="1" x14ac:dyDescent="0.25">
      <c r="A9" s="253" t="s">
        <v>173</v>
      </c>
      <c r="B9" s="527"/>
      <c r="C9" s="239">
        <v>76602</v>
      </c>
      <c r="D9" s="239">
        <v>66575</v>
      </c>
      <c r="E9" s="239">
        <f t="shared" si="1"/>
        <v>10027</v>
      </c>
      <c r="F9" s="158">
        <v>0</v>
      </c>
      <c r="G9" s="696">
        <f t="shared" si="2"/>
        <v>76602</v>
      </c>
      <c r="H9" s="239">
        <f>C9*6.25%+C9</f>
        <v>81389.625</v>
      </c>
      <c r="I9" s="386">
        <f>H9*6.25%+H9</f>
        <v>86476.4765625</v>
      </c>
    </row>
    <row r="10" spans="1:9" s="472" customFormat="1" x14ac:dyDescent="0.25">
      <c r="A10" s="424" t="s">
        <v>40</v>
      </c>
      <c r="B10" s="528">
        <f>SUM(B5:B8)</f>
        <v>1564210</v>
      </c>
      <c r="C10" s="369">
        <f>SUM(C5:C9)</f>
        <v>1738575.125</v>
      </c>
      <c r="D10" s="369">
        <f>SUM(D5:D9)</f>
        <v>66575</v>
      </c>
      <c r="E10" s="369">
        <f>SUM(E5:E9)</f>
        <v>1672000.125</v>
      </c>
      <c r="F10" s="697">
        <f t="shared" ref="F10:G10" si="3">SUM(F5:F9)</f>
        <v>0</v>
      </c>
      <c r="G10" s="697">
        <f t="shared" si="3"/>
        <v>1738575.125</v>
      </c>
      <c r="H10" s="369">
        <f>SUM(H5:H9)</f>
        <v>1847236.0703125</v>
      </c>
      <c r="I10" s="410">
        <f>SUM(I5:I9)</f>
        <v>1962688.3247070313</v>
      </c>
    </row>
    <row r="11" spans="1:9" s="469" customFormat="1" x14ac:dyDescent="0.25">
      <c r="A11" s="253"/>
      <c r="B11" s="527"/>
      <c r="C11" s="239"/>
      <c r="D11" s="239"/>
      <c r="E11" s="239"/>
      <c r="F11" s="696"/>
      <c r="G11" s="696"/>
      <c r="H11" s="239"/>
      <c r="I11" s="386"/>
    </row>
    <row r="12" spans="1:9" s="469" customFormat="1" x14ac:dyDescent="0.25">
      <c r="A12" s="253" t="s">
        <v>6</v>
      </c>
      <c r="B12" s="527">
        <v>92904</v>
      </c>
      <c r="C12" s="239">
        <f>B12*6.25%+B12</f>
        <v>98710.5</v>
      </c>
      <c r="D12" s="239"/>
      <c r="E12" s="239">
        <f t="shared" ref="E12:E15" si="4">C12-D12</f>
        <v>98710.5</v>
      </c>
      <c r="F12" s="158">
        <v>0</v>
      </c>
      <c r="G12" s="696">
        <f t="shared" si="2"/>
        <v>98710.5</v>
      </c>
      <c r="H12" s="239">
        <f>C12*6.25%+C12</f>
        <v>104879.90625</v>
      </c>
      <c r="I12" s="386">
        <f>H12*6.25%+H12</f>
        <v>111434.900390625</v>
      </c>
    </row>
    <row r="13" spans="1:9" s="469" customFormat="1" x14ac:dyDescent="0.25">
      <c r="A13" s="253" t="s">
        <v>7</v>
      </c>
      <c r="B13" s="527">
        <v>10297</v>
      </c>
      <c r="C13" s="239">
        <f t="shared" ref="C13:I14" si="5">B13*6.25%+B13</f>
        <v>10940.5625</v>
      </c>
      <c r="D13" s="239"/>
      <c r="E13" s="239">
        <f t="shared" si="4"/>
        <v>10940.5625</v>
      </c>
      <c r="F13" s="158">
        <v>0</v>
      </c>
      <c r="G13" s="696">
        <f t="shared" si="2"/>
        <v>10940.5625</v>
      </c>
      <c r="H13" s="239">
        <f>C13*6.25%+C13</f>
        <v>11624.34765625</v>
      </c>
      <c r="I13" s="386">
        <f t="shared" si="5"/>
        <v>12350.869384765625</v>
      </c>
    </row>
    <row r="14" spans="1:9" s="469" customFormat="1" x14ac:dyDescent="0.25">
      <c r="A14" s="253" t="s">
        <v>8</v>
      </c>
      <c r="B14" s="527">
        <v>226535</v>
      </c>
      <c r="C14" s="239">
        <f t="shared" si="5"/>
        <v>240693.4375</v>
      </c>
      <c r="D14" s="239"/>
      <c r="E14" s="239">
        <f t="shared" si="4"/>
        <v>240693.4375</v>
      </c>
      <c r="F14" s="158">
        <v>0</v>
      </c>
      <c r="G14" s="696">
        <f t="shared" si="2"/>
        <v>240693.4375</v>
      </c>
      <c r="H14" s="239">
        <f>C14*6.25%+C14</f>
        <v>255736.77734375</v>
      </c>
      <c r="I14" s="386">
        <f t="shared" si="5"/>
        <v>271720.32592773438</v>
      </c>
    </row>
    <row r="15" spans="1:9" s="93" customFormat="1" x14ac:dyDescent="0.25">
      <c r="A15" s="96" t="s">
        <v>396</v>
      </c>
      <c r="B15" s="602"/>
      <c r="C15" s="176">
        <v>15000</v>
      </c>
      <c r="D15" s="176"/>
      <c r="E15" s="239">
        <f t="shared" si="4"/>
        <v>15000</v>
      </c>
      <c r="F15" s="158">
        <v>-15000</v>
      </c>
      <c r="G15" s="696">
        <f t="shared" si="2"/>
        <v>0</v>
      </c>
      <c r="H15" s="176">
        <v>16035</v>
      </c>
      <c r="I15" s="404">
        <v>17141.415000000001</v>
      </c>
    </row>
    <row r="16" spans="1:9" s="469" customFormat="1" x14ac:dyDescent="0.25">
      <c r="A16" s="785" t="s">
        <v>872</v>
      </c>
      <c r="B16" s="527">
        <v>10297</v>
      </c>
      <c r="C16" s="752"/>
      <c r="D16" s="752"/>
      <c r="E16" s="752"/>
      <c r="F16" s="755">
        <v>218</v>
      </c>
      <c r="G16" s="696">
        <f t="shared" si="2"/>
        <v>218</v>
      </c>
      <c r="H16" s="752"/>
      <c r="I16" s="752"/>
    </row>
    <row r="17" spans="1:9" s="472" customFormat="1" x14ac:dyDescent="0.25">
      <c r="A17" s="424" t="s">
        <v>41</v>
      </c>
      <c r="B17" s="528">
        <f>SUM(B12:B16)</f>
        <v>340033</v>
      </c>
      <c r="C17" s="369">
        <f>SUM(C12:C16)</f>
        <v>365344.5</v>
      </c>
      <c r="D17" s="369">
        <f>SUM(D12:D16)</f>
        <v>0</v>
      </c>
      <c r="E17" s="369"/>
      <c r="F17" s="697">
        <f t="shared" ref="F17:G17" si="6">SUM(F12:F16)</f>
        <v>-14782</v>
      </c>
      <c r="G17" s="697">
        <f t="shared" si="6"/>
        <v>350562.5</v>
      </c>
      <c r="H17" s="369">
        <f>SUM(H12:H16)</f>
        <v>388276.03125</v>
      </c>
      <c r="I17" s="369">
        <f>SUM(I12:I16)</f>
        <v>412647.51070312498</v>
      </c>
    </row>
    <row r="18" spans="1:9" s="472" customFormat="1" ht="18" customHeight="1" x14ac:dyDescent="0.25">
      <c r="A18" s="477"/>
      <c r="B18" s="528"/>
      <c r="C18" s="351"/>
      <c r="D18" s="351"/>
      <c r="E18" s="351"/>
      <c r="F18" s="698"/>
      <c r="G18" s="698"/>
      <c r="H18" s="351"/>
      <c r="I18" s="386">
        <f>H18*6.9%+H18</f>
        <v>0</v>
      </c>
    </row>
    <row r="19" spans="1:9" s="470" customFormat="1" x14ac:dyDescent="0.25">
      <c r="A19" s="253" t="s">
        <v>211</v>
      </c>
      <c r="B19" s="529">
        <v>28467</v>
      </c>
      <c r="C19" s="239">
        <f>B19*4.5%+B19</f>
        <v>29748.014999999999</v>
      </c>
      <c r="D19" s="239"/>
      <c r="E19" s="239">
        <f t="shared" ref="E19" si="7">C19-D19</f>
        <v>29748.014999999999</v>
      </c>
      <c r="F19" s="158">
        <v>0</v>
      </c>
      <c r="G19" s="696">
        <f t="shared" ref="G19" si="8">C19+F19</f>
        <v>29748.014999999999</v>
      </c>
      <c r="H19" s="239">
        <f>C19*6.25%+C19</f>
        <v>31607.2659375</v>
      </c>
      <c r="I19" s="386">
        <f>H19*6.25%+H19</f>
        <v>33582.720058593753</v>
      </c>
    </row>
    <row r="20" spans="1:9" s="470" customFormat="1" x14ac:dyDescent="0.25">
      <c r="A20" s="424" t="s">
        <v>211</v>
      </c>
      <c r="B20" s="528">
        <f>B19</f>
        <v>28467</v>
      </c>
      <c r="C20" s="369">
        <f>C19</f>
        <v>29748.014999999999</v>
      </c>
      <c r="D20" s="369">
        <f>D19</f>
        <v>0</v>
      </c>
      <c r="E20" s="369"/>
      <c r="F20" s="158">
        <v>0</v>
      </c>
      <c r="G20" s="697">
        <f t="shared" ref="G20" si="9">G19</f>
        <v>29748.014999999999</v>
      </c>
      <c r="H20" s="369">
        <f>H19</f>
        <v>31607.2659375</v>
      </c>
      <c r="I20" s="410">
        <f>I19</f>
        <v>33582.720058593753</v>
      </c>
    </row>
    <row r="21" spans="1:9" x14ac:dyDescent="0.25">
      <c r="A21" s="477"/>
      <c r="B21" s="528"/>
      <c r="C21" s="369"/>
      <c r="D21" s="369"/>
      <c r="E21" s="369"/>
      <c r="F21" s="158">
        <v>0</v>
      </c>
      <c r="G21" s="697"/>
      <c r="H21" s="369"/>
      <c r="I21" s="410"/>
    </row>
    <row r="22" spans="1:9" s="469" customFormat="1" x14ac:dyDescent="0.25">
      <c r="A22" s="253" t="s">
        <v>9</v>
      </c>
      <c r="B22" s="527"/>
      <c r="C22" s="239">
        <v>10940.5625</v>
      </c>
      <c r="D22" s="239"/>
      <c r="E22" s="239">
        <f t="shared" ref="E22:E45" si="10">C22-D22</f>
        <v>10940.5625</v>
      </c>
      <c r="F22" s="805">
        <v>0</v>
      </c>
      <c r="G22" s="696">
        <f t="shared" ref="G22:G45" si="11">C22+F22</f>
        <v>10940.5625</v>
      </c>
      <c r="H22" s="239">
        <f>C22*6.25%+C22</f>
        <v>11624.34765625</v>
      </c>
      <c r="I22" s="386">
        <f t="shared" ref="I22:I24" si="12">H22*6.25%+H22</f>
        <v>12350.869384765625</v>
      </c>
    </row>
    <row r="23" spans="1:9" s="469" customFormat="1" x14ac:dyDescent="0.25">
      <c r="A23" s="253" t="s">
        <v>59</v>
      </c>
      <c r="B23" s="527">
        <v>50000</v>
      </c>
      <c r="C23" s="239">
        <f>B23*4.5%+B23</f>
        <v>52250</v>
      </c>
      <c r="D23" s="239"/>
      <c r="E23" s="239">
        <f t="shared" si="10"/>
        <v>52250</v>
      </c>
      <c r="F23" s="805">
        <v>0</v>
      </c>
      <c r="G23" s="696">
        <f t="shared" si="11"/>
        <v>52250</v>
      </c>
      <c r="H23" s="239">
        <f>C23*6.25%+C23</f>
        <v>55515.625</v>
      </c>
      <c r="I23" s="386">
        <f t="shared" si="12"/>
        <v>58985.3515625</v>
      </c>
    </row>
    <row r="24" spans="1:9" s="481" customFormat="1" x14ac:dyDescent="0.25">
      <c r="A24" s="271" t="s">
        <v>51</v>
      </c>
      <c r="B24" s="527">
        <v>50000</v>
      </c>
      <c r="C24" s="239">
        <v>100000</v>
      </c>
      <c r="D24" s="239">
        <v>6977</v>
      </c>
      <c r="E24" s="239">
        <f t="shared" si="10"/>
        <v>93023</v>
      </c>
      <c r="F24" s="805">
        <v>-50000</v>
      </c>
      <c r="G24" s="696">
        <f t="shared" si="11"/>
        <v>50000</v>
      </c>
      <c r="H24" s="239">
        <f>C24*6.25%+C24</f>
        <v>106250</v>
      </c>
      <c r="I24" s="386">
        <f t="shared" si="12"/>
        <v>112890.625</v>
      </c>
    </row>
    <row r="25" spans="1:9" s="481" customFormat="1" ht="15.75" customHeight="1" x14ac:dyDescent="0.25">
      <c r="A25" s="253" t="s">
        <v>652</v>
      </c>
      <c r="B25" s="256">
        <v>350000</v>
      </c>
      <c r="C25" s="254">
        <v>1000000</v>
      </c>
      <c r="D25" s="254">
        <v>133370</v>
      </c>
      <c r="E25" s="239">
        <f t="shared" si="10"/>
        <v>866630</v>
      </c>
      <c r="F25" s="158">
        <v>-200000</v>
      </c>
      <c r="G25" s="696">
        <f t="shared" si="11"/>
        <v>800000</v>
      </c>
      <c r="H25" s="335">
        <v>2000000</v>
      </c>
      <c r="I25" s="386">
        <v>2000000</v>
      </c>
    </row>
    <row r="26" spans="1:9" s="93" customFormat="1" hidden="1" x14ac:dyDescent="0.25">
      <c r="A26" s="530" t="s">
        <v>621</v>
      </c>
      <c r="B26" s="527">
        <v>550000</v>
      </c>
      <c r="C26" s="239">
        <v>0</v>
      </c>
      <c r="D26" s="239"/>
      <c r="E26" s="239">
        <f t="shared" si="10"/>
        <v>0</v>
      </c>
      <c r="F26" s="158">
        <v>0</v>
      </c>
      <c r="G26" s="696">
        <f t="shared" si="11"/>
        <v>0</v>
      </c>
      <c r="H26" s="239">
        <v>0</v>
      </c>
      <c r="I26" s="386">
        <v>0</v>
      </c>
    </row>
    <row r="27" spans="1:9" s="469" customFormat="1" x14ac:dyDescent="0.25">
      <c r="A27" s="253" t="s">
        <v>445</v>
      </c>
      <c r="B27" s="256">
        <v>100000</v>
      </c>
      <c r="C27" s="254">
        <v>150000</v>
      </c>
      <c r="D27" s="254"/>
      <c r="E27" s="239">
        <f t="shared" si="10"/>
        <v>150000</v>
      </c>
      <c r="F27" s="158">
        <v>0</v>
      </c>
      <c r="G27" s="696">
        <f t="shared" si="11"/>
        <v>150000</v>
      </c>
      <c r="H27" s="335">
        <v>200000</v>
      </c>
      <c r="I27" s="386">
        <v>250000</v>
      </c>
    </row>
    <row r="28" spans="1:9" s="482" customFormat="1" x14ac:dyDescent="0.25">
      <c r="A28" s="253" t="s">
        <v>763</v>
      </c>
      <c r="B28" s="256"/>
      <c r="C28" s="335">
        <v>750000</v>
      </c>
      <c r="D28" s="335"/>
      <c r="E28" s="239">
        <f t="shared" si="10"/>
        <v>750000</v>
      </c>
      <c r="F28" s="158">
        <v>0</v>
      </c>
      <c r="G28" s="696">
        <f t="shared" si="11"/>
        <v>750000</v>
      </c>
      <c r="H28" s="335">
        <v>1000000</v>
      </c>
      <c r="I28" s="386">
        <v>1250000</v>
      </c>
    </row>
    <row r="29" spans="1:9" s="469" customFormat="1" x14ac:dyDescent="0.25">
      <c r="A29" s="253" t="s">
        <v>765</v>
      </c>
      <c r="B29" s="527">
        <v>150000</v>
      </c>
      <c r="C29" s="239">
        <v>200000</v>
      </c>
      <c r="D29" s="239">
        <v>69565</v>
      </c>
      <c r="E29" s="239">
        <f t="shared" si="10"/>
        <v>130435</v>
      </c>
      <c r="F29" s="158">
        <v>0</v>
      </c>
      <c r="G29" s="696">
        <f t="shared" si="11"/>
        <v>200000</v>
      </c>
      <c r="H29" s="239">
        <v>250000</v>
      </c>
      <c r="I29" s="386">
        <v>300000</v>
      </c>
    </row>
    <row r="30" spans="1:9" s="469" customFormat="1" x14ac:dyDescent="0.25">
      <c r="A30" s="253" t="s">
        <v>766</v>
      </c>
      <c r="B30" s="527">
        <v>200000</v>
      </c>
      <c r="C30" s="239">
        <v>300000</v>
      </c>
      <c r="D30" s="239"/>
      <c r="E30" s="239">
        <f t="shared" si="10"/>
        <v>300000</v>
      </c>
      <c r="F30" s="158">
        <v>0</v>
      </c>
      <c r="G30" s="696">
        <f t="shared" si="11"/>
        <v>300000</v>
      </c>
      <c r="H30" s="239">
        <v>400000</v>
      </c>
      <c r="I30" s="386">
        <v>400000</v>
      </c>
    </row>
    <row r="31" spans="1:9" s="482" customFormat="1" x14ac:dyDescent="0.25">
      <c r="A31" s="253" t="s">
        <v>646</v>
      </c>
      <c r="B31" s="256">
        <v>150000</v>
      </c>
      <c r="C31" s="254">
        <v>100000</v>
      </c>
      <c r="D31" s="254">
        <v>17000</v>
      </c>
      <c r="E31" s="239">
        <f t="shared" si="10"/>
        <v>83000</v>
      </c>
      <c r="F31" s="158">
        <v>0</v>
      </c>
      <c r="G31" s="696">
        <f t="shared" si="11"/>
        <v>100000</v>
      </c>
      <c r="H31" s="335">
        <v>250000</v>
      </c>
      <c r="I31" s="386">
        <v>250000</v>
      </c>
    </row>
    <row r="32" spans="1:9" s="482" customFormat="1" x14ac:dyDescent="0.25">
      <c r="A32" s="253" t="s">
        <v>647</v>
      </c>
      <c r="B32" s="256">
        <v>250000</v>
      </c>
      <c r="C32" s="254">
        <v>40000</v>
      </c>
      <c r="D32" s="254"/>
      <c r="E32" s="239">
        <f t="shared" si="10"/>
        <v>40000</v>
      </c>
      <c r="F32" s="158">
        <v>0</v>
      </c>
      <c r="G32" s="696">
        <f t="shared" si="11"/>
        <v>40000</v>
      </c>
      <c r="H32" s="335">
        <v>50000</v>
      </c>
      <c r="I32" s="386">
        <v>50000</v>
      </c>
    </row>
    <row r="33" spans="1:9" s="93" customFormat="1" x14ac:dyDescent="0.25">
      <c r="A33" s="253" t="s">
        <v>648</v>
      </c>
      <c r="B33" s="527">
        <v>0</v>
      </c>
      <c r="C33" s="239">
        <v>30000</v>
      </c>
      <c r="D33" s="239"/>
      <c r="E33" s="239">
        <f t="shared" si="10"/>
        <v>30000</v>
      </c>
      <c r="F33" s="158">
        <v>0</v>
      </c>
      <c r="G33" s="696">
        <f t="shared" si="11"/>
        <v>30000</v>
      </c>
      <c r="H33" s="239">
        <v>50000</v>
      </c>
      <c r="I33" s="386">
        <v>80000</v>
      </c>
    </row>
    <row r="34" spans="1:9" s="93" customFormat="1" x14ac:dyDescent="0.25">
      <c r="A34" s="253" t="s">
        <v>649</v>
      </c>
      <c r="B34" s="527">
        <v>250000</v>
      </c>
      <c r="C34" s="239">
        <v>30000</v>
      </c>
      <c r="D34" s="239"/>
      <c r="E34" s="239">
        <f t="shared" si="10"/>
        <v>30000</v>
      </c>
      <c r="F34" s="158">
        <v>0</v>
      </c>
      <c r="G34" s="696">
        <f t="shared" si="11"/>
        <v>30000</v>
      </c>
      <c r="H34" s="239">
        <v>50000</v>
      </c>
      <c r="I34" s="386">
        <v>100000</v>
      </c>
    </row>
    <row r="35" spans="1:9" s="93" customFormat="1" x14ac:dyDescent="0.25">
      <c r="A35" s="253" t="s">
        <v>650</v>
      </c>
      <c r="B35" s="256">
        <v>250000</v>
      </c>
      <c r="C35" s="239">
        <v>100000</v>
      </c>
      <c r="D35" s="239">
        <v>19000</v>
      </c>
      <c r="E35" s="239">
        <f t="shared" si="10"/>
        <v>81000</v>
      </c>
      <c r="F35" s="158">
        <v>0</v>
      </c>
      <c r="G35" s="696">
        <f t="shared" si="11"/>
        <v>100000</v>
      </c>
      <c r="H35" s="239">
        <v>150000</v>
      </c>
      <c r="I35" s="386">
        <v>200000</v>
      </c>
    </row>
    <row r="36" spans="1:9" s="93" customFormat="1" x14ac:dyDescent="0.25">
      <c r="A36" s="253" t="s">
        <v>651</v>
      </c>
      <c r="B36" s="256">
        <v>150000</v>
      </c>
      <c r="C36" s="254">
        <v>30000</v>
      </c>
      <c r="D36" s="254"/>
      <c r="E36" s="239">
        <f t="shared" si="10"/>
        <v>30000</v>
      </c>
      <c r="F36" s="158">
        <v>0</v>
      </c>
      <c r="G36" s="696">
        <f t="shared" si="11"/>
        <v>30000</v>
      </c>
      <c r="H36" s="335">
        <v>50000</v>
      </c>
      <c r="I36" s="386">
        <v>70000</v>
      </c>
    </row>
    <row r="37" spans="1:9" s="93" customFormat="1" x14ac:dyDescent="0.25">
      <c r="A37" s="253" t="s">
        <v>764</v>
      </c>
      <c r="B37" s="256">
        <v>200000</v>
      </c>
      <c r="C37" s="254">
        <v>200000</v>
      </c>
      <c r="D37" s="254"/>
      <c r="E37" s="239">
        <f t="shared" si="10"/>
        <v>200000</v>
      </c>
      <c r="F37" s="158">
        <v>150000</v>
      </c>
      <c r="G37" s="696">
        <f t="shared" si="11"/>
        <v>350000</v>
      </c>
      <c r="H37" s="335">
        <v>200000</v>
      </c>
      <c r="I37" s="386">
        <v>250000</v>
      </c>
    </row>
    <row r="38" spans="1:9" s="93" customFormat="1" hidden="1" x14ac:dyDescent="0.25">
      <c r="A38" s="253" t="s">
        <v>606</v>
      </c>
      <c r="B38" s="256">
        <v>450000</v>
      </c>
      <c r="C38" s="254">
        <v>0</v>
      </c>
      <c r="D38" s="254"/>
      <c r="E38" s="239">
        <f t="shared" si="10"/>
        <v>0</v>
      </c>
      <c r="F38" s="158">
        <v>0</v>
      </c>
      <c r="G38" s="696">
        <f t="shared" si="11"/>
        <v>0</v>
      </c>
      <c r="H38" s="335">
        <v>0</v>
      </c>
      <c r="I38" s="386">
        <v>0</v>
      </c>
    </row>
    <row r="39" spans="1:9" s="93" customFormat="1" x14ac:dyDescent="0.25">
      <c r="A39" s="253" t="s">
        <v>656</v>
      </c>
      <c r="B39" s="256">
        <v>150000</v>
      </c>
      <c r="C39" s="254">
        <v>500000</v>
      </c>
      <c r="D39" s="254"/>
      <c r="E39" s="239">
        <f t="shared" si="10"/>
        <v>500000</v>
      </c>
      <c r="F39" s="158">
        <v>-500000</v>
      </c>
      <c r="G39" s="696">
        <f t="shared" si="11"/>
        <v>0</v>
      </c>
      <c r="H39" s="335">
        <v>0</v>
      </c>
      <c r="I39" s="386">
        <v>0</v>
      </c>
    </row>
    <row r="40" spans="1:9" s="469" customFormat="1" x14ac:dyDescent="0.25">
      <c r="A40" s="253" t="s">
        <v>607</v>
      </c>
      <c r="B40" s="256">
        <v>550000</v>
      </c>
      <c r="C40" s="254">
        <v>1200000</v>
      </c>
      <c r="D40" s="254"/>
      <c r="E40" s="239">
        <f t="shared" si="10"/>
        <v>1200000</v>
      </c>
      <c r="F40" s="158">
        <v>-1200000</v>
      </c>
      <c r="G40" s="696">
        <f t="shared" si="11"/>
        <v>0</v>
      </c>
      <c r="H40" s="335">
        <v>0</v>
      </c>
      <c r="I40" s="386">
        <v>0</v>
      </c>
    </row>
    <row r="41" spans="1:9" s="469" customFormat="1" x14ac:dyDescent="0.25">
      <c r="A41" s="253" t="s">
        <v>654</v>
      </c>
      <c r="B41" s="256"/>
      <c r="C41" s="254">
        <v>350000</v>
      </c>
      <c r="D41" s="254"/>
      <c r="E41" s="239">
        <f t="shared" si="10"/>
        <v>350000</v>
      </c>
      <c r="F41" s="158">
        <v>-350000</v>
      </c>
      <c r="G41" s="696">
        <f t="shared" si="11"/>
        <v>0</v>
      </c>
      <c r="H41" s="335">
        <v>400000</v>
      </c>
      <c r="I41" s="386">
        <v>450000</v>
      </c>
    </row>
    <row r="42" spans="1:9" s="93" customFormat="1" ht="30" x14ac:dyDescent="0.25">
      <c r="A42" s="353" t="s">
        <v>655</v>
      </c>
      <c r="B42" s="256"/>
      <c r="C42" s="254">
        <v>300000</v>
      </c>
      <c r="D42" s="254"/>
      <c r="E42" s="239">
        <f t="shared" si="10"/>
        <v>300000</v>
      </c>
      <c r="F42" s="158">
        <v>0</v>
      </c>
      <c r="G42" s="696">
        <f t="shared" si="11"/>
        <v>300000</v>
      </c>
      <c r="H42" s="335">
        <v>0</v>
      </c>
      <c r="I42" s="386">
        <v>0</v>
      </c>
    </row>
    <row r="43" spans="1:9" s="469" customFormat="1" x14ac:dyDescent="0.25">
      <c r="A43" s="807" t="s">
        <v>653</v>
      </c>
      <c r="B43" s="527"/>
      <c r="C43" s="239">
        <v>400000</v>
      </c>
      <c r="D43" s="239"/>
      <c r="E43" s="239">
        <f t="shared" si="10"/>
        <v>400000</v>
      </c>
      <c r="F43" s="158">
        <v>-400000</v>
      </c>
      <c r="G43" s="696">
        <f t="shared" si="11"/>
        <v>0</v>
      </c>
      <c r="H43" s="239">
        <v>450000</v>
      </c>
      <c r="I43" s="386">
        <v>450000</v>
      </c>
    </row>
    <row r="44" spans="1:9" s="93" customFormat="1" x14ac:dyDescent="0.25">
      <c r="A44" s="807" t="s">
        <v>767</v>
      </c>
      <c r="B44" s="527"/>
      <c r="C44" s="239">
        <v>9800000</v>
      </c>
      <c r="D44" s="239"/>
      <c r="E44" s="239">
        <f t="shared" si="10"/>
        <v>9800000</v>
      </c>
      <c r="F44" s="158">
        <v>-7000000</v>
      </c>
      <c r="G44" s="696">
        <f t="shared" si="11"/>
        <v>2800000</v>
      </c>
      <c r="H44" s="239">
        <v>0</v>
      </c>
      <c r="I44" s="386">
        <v>0</v>
      </c>
    </row>
    <row r="45" spans="1:9" s="93" customFormat="1" x14ac:dyDescent="0.25">
      <c r="A45" s="96" t="s">
        <v>768</v>
      </c>
      <c r="B45" s="602"/>
      <c r="C45" s="176">
        <v>9172160</v>
      </c>
      <c r="D45" s="176"/>
      <c r="E45" s="239">
        <f t="shared" si="10"/>
        <v>9172160</v>
      </c>
      <c r="F45" s="158">
        <v>0</v>
      </c>
      <c r="G45" s="696">
        <f t="shared" si="11"/>
        <v>9172160</v>
      </c>
      <c r="H45" s="176">
        <v>0</v>
      </c>
      <c r="I45" s="404">
        <v>0</v>
      </c>
    </row>
    <row r="46" spans="1:9" s="167" customFormat="1" x14ac:dyDescent="0.25">
      <c r="A46" s="424" t="s">
        <v>42</v>
      </c>
      <c r="B46" s="528">
        <f>SUM(B23:B43)</f>
        <v>3850000</v>
      </c>
      <c r="C46" s="369">
        <f>SUM(C22:C45)</f>
        <v>24815350.5625</v>
      </c>
      <c r="D46" s="369">
        <f t="shared" ref="D46:I46" si="13">SUM(D22:D45)</f>
        <v>245912</v>
      </c>
      <c r="E46" s="369">
        <f t="shared" si="13"/>
        <v>24569438.5625</v>
      </c>
      <c r="F46" s="369">
        <f t="shared" si="13"/>
        <v>-9550000</v>
      </c>
      <c r="G46" s="369">
        <f t="shared" si="13"/>
        <v>15265350.5625</v>
      </c>
      <c r="H46" s="369">
        <f t="shared" si="13"/>
        <v>5673389.97265625</v>
      </c>
      <c r="I46" s="369">
        <f t="shared" si="13"/>
        <v>6284226.8459472656</v>
      </c>
    </row>
    <row r="47" spans="1:9" s="93" customFormat="1" x14ac:dyDescent="0.25">
      <c r="A47" s="425"/>
      <c r="B47" s="527"/>
      <c r="C47" s="158"/>
      <c r="D47" s="239"/>
      <c r="E47" s="239"/>
      <c r="F47" s="696"/>
      <c r="G47" s="696"/>
      <c r="H47" s="239"/>
      <c r="I47" s="386"/>
    </row>
    <row r="48" spans="1:9" s="167" customFormat="1" ht="19.5" customHeight="1" thickBot="1" x14ac:dyDescent="0.3">
      <c r="A48" s="426" t="s">
        <v>46</v>
      </c>
      <c r="B48" s="411">
        <f>B10+B17+B20+B46</f>
        <v>5782710</v>
      </c>
      <c r="C48" s="411">
        <f t="shared" ref="C48:I48" si="14">SUM(C46,C20,C17,C10)</f>
        <v>26949018.202500001</v>
      </c>
      <c r="D48" s="411">
        <f t="shared" si="14"/>
        <v>312487</v>
      </c>
      <c r="E48" s="411">
        <f t="shared" si="14"/>
        <v>26241438.6875</v>
      </c>
      <c r="F48" s="699">
        <f t="shared" si="14"/>
        <v>-9564782</v>
      </c>
      <c r="G48" s="699">
        <f t="shared" si="14"/>
        <v>17384236.202500001</v>
      </c>
      <c r="H48" s="411">
        <f t="shared" si="14"/>
        <v>7940509.3401562497</v>
      </c>
      <c r="I48" s="411">
        <f t="shared" si="14"/>
        <v>8693145.4014160149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66" orientation="landscape" r:id="rId1"/>
  <headerFooter alignWithMargins="0">
    <oddFooter>&amp;C&amp;A&amp;RPage &amp;P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26"/>
  <sheetViews>
    <sheetView view="pageBreakPreview" topLeftCell="A13" zoomScaleNormal="67" zoomScaleSheetLayoutView="100" workbookViewId="0">
      <selection activeCell="A23" sqref="A23"/>
    </sheetView>
  </sheetViews>
  <sheetFormatPr defaultColWidth="9.28515625" defaultRowHeight="15" x14ac:dyDescent="0.25"/>
  <cols>
    <col min="1" max="1" width="36.28515625" style="97" customWidth="1"/>
    <col min="2" max="2" width="16" style="152" hidden="1" customWidth="1"/>
    <col min="3" max="5" width="16.7109375" style="152" customWidth="1"/>
    <col min="6" max="6" width="16.7109375" style="247" customWidth="1"/>
    <col min="7" max="7" width="16.7109375" style="152" customWidth="1"/>
    <col min="8" max="8" width="17.7109375" style="152" customWidth="1"/>
    <col min="9" max="9" width="14.140625" style="97" customWidth="1"/>
    <col min="10" max="16384" width="9.28515625" style="97"/>
  </cols>
  <sheetData>
    <row r="1" spans="1:9" ht="18.75" x14ac:dyDescent="0.3">
      <c r="A1" s="154" t="s">
        <v>549</v>
      </c>
      <c r="B1" s="164"/>
      <c r="C1" s="164"/>
      <c r="D1" s="164"/>
      <c r="E1" s="164"/>
      <c r="F1" s="368"/>
      <c r="G1" s="164"/>
      <c r="H1" s="164"/>
    </row>
    <row r="2" spans="1:9" ht="19.5" thickBot="1" x14ac:dyDescent="0.35">
      <c r="A2" s="166"/>
      <c r="B2" s="164"/>
      <c r="C2" s="164"/>
      <c r="D2" s="164"/>
      <c r="E2" s="164"/>
      <c r="F2" s="368"/>
      <c r="G2" s="164"/>
      <c r="H2" s="164"/>
    </row>
    <row r="3" spans="1:9" s="93" customFormat="1" ht="42.75" customHeight="1" thickBot="1" x14ac:dyDescent="0.3">
      <c r="A3" s="407" t="s">
        <v>39</v>
      </c>
      <c r="B3" s="383" t="s">
        <v>393</v>
      </c>
      <c r="C3" s="383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3" t="s">
        <v>556</v>
      </c>
      <c r="I3" s="402" t="s">
        <v>644</v>
      </c>
    </row>
    <row r="4" spans="1:9" s="93" customFormat="1" x14ac:dyDescent="0.25">
      <c r="A4" s="96" t="s">
        <v>2</v>
      </c>
      <c r="B4" s="91">
        <v>1614581</v>
      </c>
      <c r="C4" s="91">
        <f>B4*6.25%+B4</f>
        <v>1715492.3125</v>
      </c>
      <c r="D4" s="91">
        <v>583941</v>
      </c>
      <c r="E4" s="91">
        <f>C4-D4</f>
        <v>1131551.3125</v>
      </c>
      <c r="F4" s="158">
        <v>-350000</v>
      </c>
      <c r="G4" s="91">
        <f>C4+F4</f>
        <v>1365492.3125</v>
      </c>
      <c r="H4" s="91">
        <f>C4*6.25%+C4</f>
        <v>1822710.58203125</v>
      </c>
      <c r="I4" s="404">
        <f>H4*6.25%+H4</f>
        <v>1936629.9934082031</v>
      </c>
    </row>
    <row r="5" spans="1:9" s="93" customFormat="1" x14ac:dyDescent="0.25">
      <c r="A5" s="96" t="s">
        <v>3</v>
      </c>
      <c r="B5" s="91">
        <v>134548</v>
      </c>
      <c r="C5" s="91">
        <f t="shared" ref="C5:I8" si="0">B5*6.25%+B5</f>
        <v>142957.25</v>
      </c>
      <c r="D5" s="91">
        <v>50612</v>
      </c>
      <c r="E5" s="91">
        <f t="shared" ref="E5:E8" si="1">C5-D5</f>
        <v>92345.25</v>
      </c>
      <c r="F5" s="158">
        <v>0</v>
      </c>
      <c r="G5" s="91">
        <f t="shared" ref="G5:G8" si="2">C5+F5</f>
        <v>142957.25</v>
      </c>
      <c r="H5" s="91">
        <f>C5*6.25%+C5</f>
        <v>151892.078125</v>
      </c>
      <c r="I5" s="404">
        <f t="shared" si="0"/>
        <v>161385.3330078125</v>
      </c>
    </row>
    <row r="6" spans="1:9" s="93" customFormat="1" x14ac:dyDescent="0.25">
      <c r="A6" s="96" t="s">
        <v>4</v>
      </c>
      <c r="B6" s="91">
        <v>43577</v>
      </c>
      <c r="C6" s="91">
        <f t="shared" si="0"/>
        <v>46300.5625</v>
      </c>
      <c r="D6" s="91">
        <v>19316</v>
      </c>
      <c r="E6" s="91">
        <f t="shared" si="1"/>
        <v>26984.5625</v>
      </c>
      <c r="F6" s="158">
        <v>0</v>
      </c>
      <c r="G6" s="91">
        <f t="shared" si="2"/>
        <v>46300.5625</v>
      </c>
      <c r="H6" s="91">
        <f>C6*6.25%+C6</f>
        <v>49194.34765625</v>
      </c>
      <c r="I6" s="404">
        <f t="shared" si="0"/>
        <v>52268.994384765625</v>
      </c>
    </row>
    <row r="7" spans="1:9" s="93" customFormat="1" x14ac:dyDescent="0.25">
      <c r="A7" s="96" t="s">
        <v>173</v>
      </c>
      <c r="B7" s="91"/>
      <c r="C7" s="91">
        <v>112492</v>
      </c>
      <c r="D7" s="91"/>
      <c r="E7" s="91">
        <f t="shared" si="1"/>
        <v>112492</v>
      </c>
      <c r="F7" s="158">
        <v>0</v>
      </c>
      <c r="G7" s="91">
        <f t="shared" si="2"/>
        <v>112492</v>
      </c>
      <c r="H7" s="91">
        <f>C7*6.25%+C7</f>
        <v>119522.75</v>
      </c>
      <c r="I7" s="404">
        <f>H7*6.25%+H7</f>
        <v>126992.921875</v>
      </c>
    </row>
    <row r="8" spans="1:9" s="93" customFormat="1" x14ac:dyDescent="0.25">
      <c r="A8" s="96" t="s">
        <v>5</v>
      </c>
      <c r="B8" s="91">
        <v>521782</v>
      </c>
      <c r="C8" s="91">
        <f t="shared" si="0"/>
        <v>554393.375</v>
      </c>
      <c r="D8" s="91">
        <v>162704</v>
      </c>
      <c r="E8" s="91">
        <f t="shared" si="1"/>
        <v>391689.375</v>
      </c>
      <c r="F8" s="158">
        <v>-150000</v>
      </c>
      <c r="G8" s="91">
        <f t="shared" si="2"/>
        <v>404393.375</v>
      </c>
      <c r="H8" s="91">
        <f>C8*6.25%+C8</f>
        <v>589042.9609375</v>
      </c>
      <c r="I8" s="404">
        <f t="shared" si="0"/>
        <v>625858.14599609375</v>
      </c>
    </row>
    <row r="9" spans="1:9" s="167" customFormat="1" x14ac:dyDescent="0.25">
      <c r="A9" s="343" t="s">
        <v>40</v>
      </c>
      <c r="B9" s="89">
        <f>SUM(B4:B8)</f>
        <v>2314488</v>
      </c>
      <c r="C9" s="89">
        <f>SUM(C4:C8)</f>
        <v>2571635.5</v>
      </c>
      <c r="D9" s="89">
        <f>SUM(D4:D8)</f>
        <v>816573</v>
      </c>
      <c r="E9" s="89">
        <f>SUM(E4:E8)</f>
        <v>1755062.5</v>
      </c>
      <c r="F9" s="246">
        <f t="shared" ref="F9:G9" si="3">SUM(F4:F8)</f>
        <v>-500000</v>
      </c>
      <c r="G9" s="89">
        <f t="shared" si="3"/>
        <v>2071635.5</v>
      </c>
      <c r="H9" s="89">
        <f>SUM(H4:H8)</f>
        <v>2732362.71875</v>
      </c>
      <c r="I9" s="399">
        <f>SUM(I4:I8)</f>
        <v>2903135.388671875</v>
      </c>
    </row>
    <row r="10" spans="1:9" s="93" customFormat="1" x14ac:dyDescent="0.25">
      <c r="A10" s="96"/>
      <c r="B10" s="91"/>
      <c r="C10" s="91"/>
      <c r="D10" s="91"/>
      <c r="E10" s="91"/>
      <c r="F10" s="158"/>
      <c r="G10" s="91"/>
      <c r="H10" s="91"/>
      <c r="I10" s="404"/>
    </row>
    <row r="11" spans="1:9" s="93" customFormat="1" x14ac:dyDescent="0.25">
      <c r="A11" s="96" t="s">
        <v>6</v>
      </c>
      <c r="B11" s="91">
        <v>92904</v>
      </c>
      <c r="C11" s="91">
        <f>B11*6.25%+B11</f>
        <v>98710.5</v>
      </c>
      <c r="D11" s="91">
        <v>26132</v>
      </c>
      <c r="E11" s="91">
        <f t="shared" ref="E11:E14" si="4">C11-D11</f>
        <v>72578.5</v>
      </c>
      <c r="F11" s="158">
        <v>-15000</v>
      </c>
      <c r="G11" s="91">
        <f t="shared" ref="G11:G15" si="5">C11+F11</f>
        <v>83710.5</v>
      </c>
      <c r="H11" s="91">
        <f>C11*6.25%+C11</f>
        <v>104879.90625</v>
      </c>
      <c r="I11" s="404">
        <f>H11*6.25%+H11</f>
        <v>111434.900390625</v>
      </c>
    </row>
    <row r="12" spans="1:9" s="93" customFormat="1" x14ac:dyDescent="0.25">
      <c r="A12" s="96" t="s">
        <v>7</v>
      </c>
      <c r="B12" s="91">
        <v>16146</v>
      </c>
      <c r="C12" s="91">
        <f t="shared" ref="C12:I13" si="6">B12*6.25%+B12</f>
        <v>17155.125</v>
      </c>
      <c r="D12" s="91">
        <v>1785</v>
      </c>
      <c r="E12" s="91">
        <f t="shared" si="4"/>
        <v>15370.125</v>
      </c>
      <c r="F12" s="158">
        <v>-10000</v>
      </c>
      <c r="G12" s="91">
        <f t="shared" si="5"/>
        <v>7155.125</v>
      </c>
      <c r="H12" s="91">
        <f>C12*6.25%+C12</f>
        <v>18227.3203125</v>
      </c>
      <c r="I12" s="404">
        <f t="shared" si="6"/>
        <v>19366.52783203125</v>
      </c>
    </row>
    <row r="13" spans="1:9" s="93" customFormat="1" x14ac:dyDescent="0.25">
      <c r="A13" s="96" t="s">
        <v>53</v>
      </c>
      <c r="B13" s="91">
        <v>355208</v>
      </c>
      <c r="C13" s="91">
        <f t="shared" si="6"/>
        <v>377408.5</v>
      </c>
      <c r="D13" s="91">
        <v>121060</v>
      </c>
      <c r="E13" s="91">
        <f t="shared" si="4"/>
        <v>256348.5</v>
      </c>
      <c r="F13" s="158">
        <v>-120000</v>
      </c>
      <c r="G13" s="91">
        <f t="shared" si="5"/>
        <v>257408.5</v>
      </c>
      <c r="H13" s="91">
        <f>C13*6.25%+C13</f>
        <v>400996.53125</v>
      </c>
      <c r="I13" s="404">
        <f t="shared" si="6"/>
        <v>426058.814453125</v>
      </c>
    </row>
    <row r="14" spans="1:9" s="93" customFormat="1" x14ac:dyDescent="0.25">
      <c r="A14" s="96" t="s">
        <v>396</v>
      </c>
      <c r="B14" s="91"/>
      <c r="C14" s="91">
        <v>17400</v>
      </c>
      <c r="D14" s="91"/>
      <c r="E14" s="91">
        <f t="shared" si="4"/>
        <v>17400</v>
      </c>
      <c r="F14" s="158">
        <v>-17400</v>
      </c>
      <c r="G14" s="91">
        <f t="shared" si="5"/>
        <v>0</v>
      </c>
      <c r="H14" s="91">
        <v>18600.599999999999</v>
      </c>
      <c r="I14" s="404">
        <v>19884.041399999998</v>
      </c>
    </row>
    <row r="15" spans="1:9" s="93" customFormat="1" x14ac:dyDescent="0.25">
      <c r="A15" s="785" t="s">
        <v>872</v>
      </c>
      <c r="B15" s="91">
        <v>16146</v>
      </c>
      <c r="C15" s="365">
        <v>0</v>
      </c>
      <c r="D15" s="365">
        <v>0</v>
      </c>
      <c r="E15" s="365">
        <v>0</v>
      </c>
      <c r="F15" s="576">
        <v>162</v>
      </c>
      <c r="G15" s="365">
        <f t="shared" si="5"/>
        <v>162</v>
      </c>
      <c r="H15" s="365">
        <v>0</v>
      </c>
      <c r="I15" s="93">
        <v>0</v>
      </c>
    </row>
    <row r="16" spans="1:9" s="167" customFormat="1" x14ac:dyDescent="0.25">
      <c r="A16" s="343" t="s">
        <v>41</v>
      </c>
      <c r="B16" s="89">
        <f>SUM(B11:B15)</f>
        <v>480404</v>
      </c>
      <c r="C16" s="89">
        <f>SUM(C11:C15)</f>
        <v>510674.125</v>
      </c>
      <c r="D16" s="89">
        <f>SUM(D11:D15)</f>
        <v>148977</v>
      </c>
      <c r="E16" s="89">
        <f>SUM(E11:E15)</f>
        <v>361697.125</v>
      </c>
      <c r="F16" s="246">
        <f t="shared" ref="F16:G16" si="7">SUM(F11:F15)</f>
        <v>-162238</v>
      </c>
      <c r="G16" s="89">
        <f t="shared" si="7"/>
        <v>348436.125</v>
      </c>
      <c r="H16" s="89">
        <f>SUM(H11:H15)</f>
        <v>542704.35781249998</v>
      </c>
      <c r="I16" s="89">
        <f>SUM(I11:I15)</f>
        <v>576744.28407578124</v>
      </c>
    </row>
    <row r="17" spans="1:9" s="167" customFormat="1" x14ac:dyDescent="0.25">
      <c r="A17" s="141"/>
      <c r="B17" s="89"/>
      <c r="C17" s="89"/>
      <c r="D17" s="89"/>
      <c r="E17" s="89"/>
      <c r="F17" s="246"/>
      <c r="G17" s="89"/>
      <c r="H17" s="89"/>
      <c r="I17" s="399"/>
    </row>
    <row r="18" spans="1:9" s="167" customFormat="1" x14ac:dyDescent="0.25">
      <c r="A18" s="96" t="s">
        <v>9</v>
      </c>
      <c r="B18" s="89"/>
      <c r="C18" s="91">
        <f>B15*6.25%+B15</f>
        <v>17155.125</v>
      </c>
      <c r="D18" s="91">
        <v>3591</v>
      </c>
      <c r="E18" s="91">
        <f t="shared" ref="E18:E22" si="8">C18-D18</f>
        <v>13564.125</v>
      </c>
      <c r="F18" s="158">
        <v>0</v>
      </c>
      <c r="G18" s="91">
        <f t="shared" ref="G18:G22" si="9">C18+F18</f>
        <v>17155.125</v>
      </c>
      <c r="H18" s="91">
        <f>C18*6.25%+C18</f>
        <v>18227.3203125</v>
      </c>
      <c r="I18" s="404">
        <f t="shared" ref="I18:I20" si="10">H18*6.25%+H18</f>
        <v>19366.52783203125</v>
      </c>
    </row>
    <row r="19" spans="1:9" s="93" customFormat="1" x14ac:dyDescent="0.25">
      <c r="A19" s="96" t="s">
        <v>59</v>
      </c>
      <c r="B19" s="91">
        <v>50000</v>
      </c>
      <c r="C19" s="91">
        <f>B19*4.5%+B19</f>
        <v>52250</v>
      </c>
      <c r="D19" s="91">
        <v>3299</v>
      </c>
      <c r="E19" s="91">
        <f t="shared" si="8"/>
        <v>48951</v>
      </c>
      <c r="F19" s="158">
        <v>0</v>
      </c>
      <c r="G19" s="91">
        <f t="shared" si="9"/>
        <v>52250</v>
      </c>
      <c r="H19" s="91">
        <f>C19*6.25%+C19</f>
        <v>55515.625</v>
      </c>
      <c r="I19" s="404">
        <f t="shared" si="10"/>
        <v>58985.3515625</v>
      </c>
    </row>
    <row r="20" spans="1:9" s="93" customFormat="1" x14ac:dyDescent="0.25">
      <c r="A20" s="96" t="s">
        <v>60</v>
      </c>
      <c r="B20" s="91">
        <v>50000</v>
      </c>
      <c r="C20" s="91">
        <v>100000</v>
      </c>
      <c r="D20" s="91"/>
      <c r="E20" s="91">
        <f t="shared" si="8"/>
        <v>100000</v>
      </c>
      <c r="F20" s="158">
        <v>0</v>
      </c>
      <c r="G20" s="91">
        <f t="shared" si="9"/>
        <v>100000</v>
      </c>
      <c r="H20" s="91">
        <f>C20*6.25%+C20</f>
        <v>106250</v>
      </c>
      <c r="I20" s="404">
        <f t="shared" si="10"/>
        <v>112890.625</v>
      </c>
    </row>
    <row r="21" spans="1:9" s="93" customFormat="1" x14ac:dyDescent="0.25">
      <c r="A21" s="96" t="s">
        <v>753</v>
      </c>
      <c r="B21" s="91"/>
      <c r="C21" s="91">
        <v>500000</v>
      </c>
      <c r="D21" s="91"/>
      <c r="E21" s="91">
        <f t="shared" si="8"/>
        <v>500000</v>
      </c>
      <c r="F21" s="158">
        <v>-500000</v>
      </c>
      <c r="G21" s="91">
        <f t="shared" si="9"/>
        <v>0</v>
      </c>
      <c r="H21" s="91">
        <v>0</v>
      </c>
      <c r="I21" s="404">
        <v>0</v>
      </c>
    </row>
    <row r="22" spans="1:9" s="93" customFormat="1" x14ac:dyDescent="0.25">
      <c r="A22" s="96" t="s">
        <v>352</v>
      </c>
      <c r="B22" s="269">
        <v>650000</v>
      </c>
      <c r="C22" s="91">
        <v>650100</v>
      </c>
      <c r="D22" s="91">
        <v>651208</v>
      </c>
      <c r="E22" s="91">
        <f t="shared" si="8"/>
        <v>-1108</v>
      </c>
      <c r="F22" s="158">
        <v>1200</v>
      </c>
      <c r="G22" s="91">
        <f t="shared" si="9"/>
        <v>651300</v>
      </c>
      <c r="H22" s="91">
        <v>720000</v>
      </c>
      <c r="I22" s="404">
        <v>800000</v>
      </c>
    </row>
    <row r="23" spans="1:9" s="167" customFormat="1" x14ac:dyDescent="0.25">
      <c r="A23" s="343" t="s">
        <v>42</v>
      </c>
      <c r="B23" s="89">
        <f>SUM(B19:B22)</f>
        <v>750000</v>
      </c>
      <c r="C23" s="89">
        <f>SUM(C18:C22)</f>
        <v>1319505.125</v>
      </c>
      <c r="D23" s="89">
        <f>SUM(D18:D22)</f>
        <v>658098</v>
      </c>
      <c r="E23" s="89">
        <f>SUM(E18:E22)</f>
        <v>661407.125</v>
      </c>
      <c r="F23" s="246">
        <f t="shared" ref="F23:G23" si="11">SUM(F18:F22)</f>
        <v>-498800</v>
      </c>
      <c r="G23" s="89">
        <f t="shared" si="11"/>
        <v>820705.125</v>
      </c>
      <c r="H23" s="89">
        <f>SUM(H18:H22)</f>
        <v>899992.9453125</v>
      </c>
      <c r="I23" s="89">
        <f>SUM(I18:I22)</f>
        <v>991242.50439453125</v>
      </c>
    </row>
    <row r="24" spans="1:9" s="93" customFormat="1" x14ac:dyDescent="0.25">
      <c r="A24" s="388"/>
      <c r="B24" s="91"/>
      <c r="C24" s="91"/>
      <c r="D24" s="91"/>
      <c r="E24" s="91"/>
      <c r="F24" s="158"/>
      <c r="G24" s="91"/>
      <c r="H24" s="91"/>
      <c r="I24" s="404">
        <f>H24*6.9%+H24</f>
        <v>0</v>
      </c>
    </row>
    <row r="25" spans="1:9" s="167" customFormat="1" ht="15.95" customHeight="1" thickBot="1" x14ac:dyDescent="0.3">
      <c r="A25" s="390" t="s">
        <v>48</v>
      </c>
      <c r="B25" s="391">
        <f>B9+B16+B23</f>
        <v>3544892</v>
      </c>
      <c r="C25" s="391">
        <f>C9+C16+C23</f>
        <v>4401814.75</v>
      </c>
      <c r="D25" s="391">
        <f>D9+D16+D23</f>
        <v>1623648</v>
      </c>
      <c r="E25" s="391">
        <f>E9+E16+E23</f>
        <v>2778166.75</v>
      </c>
      <c r="F25" s="392">
        <f t="shared" ref="F25:G25" si="12">F9+F16+F23</f>
        <v>-1161038</v>
      </c>
      <c r="G25" s="391">
        <f t="shared" si="12"/>
        <v>3240776.75</v>
      </c>
      <c r="H25" s="391">
        <f>H9+H16+H23</f>
        <v>4175060.0218750001</v>
      </c>
      <c r="I25" s="401">
        <f>I9+I16+I23</f>
        <v>4471122.177142188</v>
      </c>
    </row>
    <row r="26" spans="1:9" s="93" customFormat="1" x14ac:dyDescent="0.25">
      <c r="B26" s="151"/>
      <c r="C26" s="151"/>
      <c r="D26" s="151"/>
      <c r="E26" s="151"/>
      <c r="F26" s="243"/>
      <c r="G26" s="151"/>
      <c r="H26" s="151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&amp;A&amp;RPage &amp;P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I31"/>
  <sheetViews>
    <sheetView view="pageBreakPreview" topLeftCell="A7" zoomScale="90" zoomScaleNormal="73" zoomScaleSheetLayoutView="90" workbookViewId="0">
      <selection activeCell="F25" sqref="F25"/>
    </sheetView>
  </sheetViews>
  <sheetFormatPr defaultColWidth="9.28515625" defaultRowHeight="15" x14ac:dyDescent="0.25"/>
  <cols>
    <col min="1" max="1" width="37" style="93" customWidth="1"/>
    <col min="2" max="2" width="14.42578125" style="151" hidden="1" customWidth="1"/>
    <col min="3" max="8" width="16.7109375" style="243" customWidth="1"/>
    <col min="9" max="9" width="16.42578125" style="272" customWidth="1"/>
    <col min="10" max="16384" width="9.28515625" style="93"/>
  </cols>
  <sheetData>
    <row r="1" spans="1:9" ht="18.75" x14ac:dyDescent="0.3">
      <c r="A1" s="142" t="s">
        <v>550</v>
      </c>
      <c r="B1" s="163"/>
      <c r="C1" s="363"/>
      <c r="D1" s="363"/>
      <c r="E1" s="363"/>
      <c r="F1" s="363"/>
      <c r="G1" s="363"/>
      <c r="H1" s="363"/>
    </row>
    <row r="2" spans="1:9" ht="15.75" thickBot="1" x14ac:dyDescent="0.3"/>
    <row r="3" spans="1:9" ht="43.5" customHeight="1" thickBot="1" x14ac:dyDescent="0.3">
      <c r="A3" s="407" t="s">
        <v>39</v>
      </c>
      <c r="B3" s="383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08" t="s">
        <v>644</v>
      </c>
    </row>
    <row r="4" spans="1:9" x14ac:dyDescent="0.25">
      <c r="A4" s="96" t="s">
        <v>2</v>
      </c>
      <c r="B4" s="91">
        <v>2540613</v>
      </c>
      <c r="C4" s="158">
        <f>B4*6.25%+B4</f>
        <v>2699401.3125</v>
      </c>
      <c r="D4" s="158">
        <v>1126418</v>
      </c>
      <c r="E4" s="158">
        <f>C4-D4</f>
        <v>1572983.3125</v>
      </c>
      <c r="F4" s="91">
        <v>-150000</v>
      </c>
      <c r="G4" s="158">
        <f>C4+F4</f>
        <v>2549401.3125</v>
      </c>
      <c r="H4" s="158">
        <f>C4*6.25%+C4</f>
        <v>2868113.89453125</v>
      </c>
      <c r="I4" s="386">
        <f>H4*6.25%+H4</f>
        <v>3047371.0129394531</v>
      </c>
    </row>
    <row r="5" spans="1:9" x14ac:dyDescent="0.25">
      <c r="A5" s="96" t="s">
        <v>3</v>
      </c>
      <c r="B5" s="91">
        <v>211718</v>
      </c>
      <c r="C5" s="158">
        <f t="shared" ref="C5:I7" si="0">B5*6.25%+B5</f>
        <v>224950.375</v>
      </c>
      <c r="D5" s="158">
        <v>33740</v>
      </c>
      <c r="E5" s="158">
        <f t="shared" ref="E5:E8" si="1">C5-D5</f>
        <v>191210.375</v>
      </c>
      <c r="F5" s="91">
        <v>-30000</v>
      </c>
      <c r="G5" s="158">
        <f t="shared" ref="G5:G8" si="2">C5+F5</f>
        <v>194950.375</v>
      </c>
      <c r="H5" s="158">
        <f>C5*6.25%+C5</f>
        <v>239009.7734375</v>
      </c>
      <c r="I5" s="386">
        <f t="shared" si="0"/>
        <v>253947.88427734375</v>
      </c>
    </row>
    <row r="6" spans="1:9" x14ac:dyDescent="0.25">
      <c r="A6" s="96" t="s">
        <v>4</v>
      </c>
      <c r="B6" s="91">
        <v>19200</v>
      </c>
      <c r="C6" s="158">
        <f t="shared" si="0"/>
        <v>20400</v>
      </c>
      <c r="D6" s="158"/>
      <c r="E6" s="158">
        <f t="shared" si="1"/>
        <v>20400</v>
      </c>
      <c r="F6" s="91">
        <v>0</v>
      </c>
      <c r="G6" s="158">
        <f t="shared" si="2"/>
        <v>20400</v>
      </c>
      <c r="H6" s="158">
        <f>C6*6.25%+C6</f>
        <v>21675</v>
      </c>
      <c r="I6" s="386">
        <f t="shared" si="0"/>
        <v>23029.6875</v>
      </c>
    </row>
    <row r="7" spans="1:9" x14ac:dyDescent="0.25">
      <c r="A7" s="96" t="s">
        <v>85</v>
      </c>
      <c r="B7" s="91">
        <v>1004032</v>
      </c>
      <c r="C7" s="158">
        <f t="shared" si="0"/>
        <v>1066784</v>
      </c>
      <c r="D7" s="158">
        <v>414381</v>
      </c>
      <c r="E7" s="158">
        <f t="shared" si="1"/>
        <v>652403</v>
      </c>
      <c r="F7" s="91">
        <v>-130000</v>
      </c>
      <c r="G7" s="158">
        <f t="shared" si="2"/>
        <v>936784</v>
      </c>
      <c r="H7" s="158">
        <f>C7*6.25%+C7</f>
        <v>1133458</v>
      </c>
      <c r="I7" s="386">
        <f t="shared" si="0"/>
        <v>1204299.125</v>
      </c>
    </row>
    <row r="8" spans="1:9" x14ac:dyDescent="0.25">
      <c r="A8" s="96" t="s">
        <v>173</v>
      </c>
      <c r="B8" s="91"/>
      <c r="C8" s="158">
        <v>185687</v>
      </c>
      <c r="D8" s="158">
        <v>75904</v>
      </c>
      <c r="E8" s="158">
        <f t="shared" si="1"/>
        <v>109783</v>
      </c>
      <c r="F8" s="91">
        <v>0</v>
      </c>
      <c r="G8" s="158">
        <f t="shared" si="2"/>
        <v>185687</v>
      </c>
      <c r="H8" s="158">
        <f>C8*6.25%+C8</f>
        <v>197292.4375</v>
      </c>
      <c r="I8" s="386">
        <f>H8*6.25%+H8</f>
        <v>209623.21484375</v>
      </c>
    </row>
    <row r="9" spans="1:9" s="167" customFormat="1" x14ac:dyDescent="0.25">
      <c r="A9" s="412" t="s">
        <v>40</v>
      </c>
      <c r="B9" s="89">
        <f>SUM(B4:B7)</f>
        <v>3775563</v>
      </c>
      <c r="C9" s="246">
        <f>SUM(C4:C8)</f>
        <v>4197222.6875</v>
      </c>
      <c r="D9" s="246">
        <f>SUM(D4:D8)</f>
        <v>1650443</v>
      </c>
      <c r="E9" s="246">
        <f>SUM(E4:E8)</f>
        <v>2546779.6875</v>
      </c>
      <c r="F9" s="246">
        <f t="shared" ref="F9:G9" si="3">SUM(F4:F8)</f>
        <v>-310000</v>
      </c>
      <c r="G9" s="246">
        <f t="shared" si="3"/>
        <v>3887222.6875</v>
      </c>
      <c r="H9" s="246">
        <f>SUM(H4:H8)</f>
        <v>4459549.10546875</v>
      </c>
      <c r="I9" s="387">
        <f>SUM(I4:I8)</f>
        <v>4738270.9245605469</v>
      </c>
    </row>
    <row r="10" spans="1:9" x14ac:dyDescent="0.25">
      <c r="A10" s="96"/>
      <c r="B10" s="91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x14ac:dyDescent="0.25">
      <c r="A11" s="96" t="s">
        <v>6</v>
      </c>
      <c r="B11" s="91">
        <v>232260</v>
      </c>
      <c r="C11" s="158">
        <f>B11*6.25%+B11</f>
        <v>246776.25</v>
      </c>
      <c r="D11" s="158">
        <v>26194</v>
      </c>
      <c r="E11" s="158">
        <f t="shared" ref="E11:E15" si="4">C11-D11</f>
        <v>220582.25</v>
      </c>
      <c r="F11" s="91">
        <v>0</v>
      </c>
      <c r="G11" s="158">
        <f t="shared" ref="G11:G15" si="5">C11+F11</f>
        <v>246776.25</v>
      </c>
      <c r="H11" s="158">
        <f>C11*6.25%+C11</f>
        <v>262199.765625</v>
      </c>
      <c r="I11" s="386">
        <f>H11*6.25%+H11</f>
        <v>278587.2509765625</v>
      </c>
    </row>
    <row r="12" spans="1:9" x14ac:dyDescent="0.25">
      <c r="A12" s="96" t="s">
        <v>7</v>
      </c>
      <c r="B12" s="91">
        <v>25406</v>
      </c>
      <c r="C12" s="158">
        <f t="shared" ref="C12:I13" si="6">B12*6.25%+B12</f>
        <v>26993.875</v>
      </c>
      <c r="D12" s="158">
        <v>892</v>
      </c>
      <c r="E12" s="158">
        <f t="shared" si="4"/>
        <v>26101.875</v>
      </c>
      <c r="F12" s="91">
        <v>0</v>
      </c>
      <c r="G12" s="158">
        <f t="shared" si="5"/>
        <v>26993.875</v>
      </c>
      <c r="H12" s="158">
        <f>C12*6.25%+C12</f>
        <v>28680.9921875</v>
      </c>
      <c r="I12" s="386">
        <f t="shared" si="6"/>
        <v>30473.55419921875</v>
      </c>
    </row>
    <row r="13" spans="1:9" x14ac:dyDescent="0.25">
      <c r="A13" s="96" t="s">
        <v>53</v>
      </c>
      <c r="B13" s="91">
        <v>558935</v>
      </c>
      <c r="C13" s="158">
        <f t="shared" si="6"/>
        <v>593868.4375</v>
      </c>
      <c r="D13" s="158">
        <v>254077</v>
      </c>
      <c r="E13" s="158">
        <f t="shared" si="4"/>
        <v>339791.4375</v>
      </c>
      <c r="F13" s="91">
        <v>-60000</v>
      </c>
      <c r="G13" s="158">
        <f t="shared" si="5"/>
        <v>533868.4375</v>
      </c>
      <c r="H13" s="158">
        <f>C13*6.25%+C13</f>
        <v>630985.21484375</v>
      </c>
      <c r="I13" s="386">
        <f t="shared" si="6"/>
        <v>670421.79077148438</v>
      </c>
    </row>
    <row r="14" spans="1:9" x14ac:dyDescent="0.25">
      <c r="A14" s="96" t="s">
        <v>396</v>
      </c>
      <c r="B14" s="91"/>
      <c r="C14" s="158">
        <v>30000</v>
      </c>
      <c r="D14" s="158">
        <v>4890</v>
      </c>
      <c r="E14" s="158">
        <f t="shared" si="4"/>
        <v>25110</v>
      </c>
      <c r="F14" s="91">
        <v>-25110</v>
      </c>
      <c r="G14" s="158">
        <f t="shared" si="5"/>
        <v>4890</v>
      </c>
      <c r="H14" s="158">
        <v>32070</v>
      </c>
      <c r="I14" s="386">
        <v>34282.83</v>
      </c>
    </row>
    <row r="15" spans="1:9" s="746" customFormat="1" x14ac:dyDescent="0.25">
      <c r="A15" s="785" t="s">
        <v>872</v>
      </c>
      <c r="B15" s="91"/>
      <c r="C15" s="158">
        <v>0</v>
      </c>
      <c r="D15" s="158">
        <v>0</v>
      </c>
      <c r="E15" s="158">
        <f t="shared" si="4"/>
        <v>0</v>
      </c>
      <c r="F15" s="91">
        <v>325</v>
      </c>
      <c r="G15" s="158">
        <f t="shared" si="5"/>
        <v>325</v>
      </c>
      <c r="H15" s="158"/>
      <c r="I15" s="239"/>
    </row>
    <row r="16" spans="1:9" s="167" customFormat="1" x14ac:dyDescent="0.25">
      <c r="A16" s="412" t="s">
        <v>41</v>
      </c>
      <c r="B16" s="89">
        <f t="shared" ref="B16:I16" si="7">SUM(B11:B14)</f>
        <v>816601</v>
      </c>
      <c r="C16" s="246">
        <f>SUM(C11:C15)</f>
        <v>897638.5625</v>
      </c>
      <c r="D16" s="246">
        <f t="shared" ref="D16:G16" si="8">SUM(D11:D15)</f>
        <v>286053</v>
      </c>
      <c r="E16" s="246">
        <f t="shared" si="8"/>
        <v>611585.5625</v>
      </c>
      <c r="F16" s="246">
        <f t="shared" si="8"/>
        <v>-84785</v>
      </c>
      <c r="G16" s="246">
        <f t="shared" si="8"/>
        <v>812853.5625</v>
      </c>
      <c r="H16" s="246">
        <f t="shared" si="7"/>
        <v>953935.97265625</v>
      </c>
      <c r="I16" s="246">
        <f t="shared" si="7"/>
        <v>1013765.4259472656</v>
      </c>
    </row>
    <row r="17" spans="1:9" x14ac:dyDescent="0.25">
      <c r="A17" s="96"/>
      <c r="B17" s="91"/>
      <c r="C17" s="158"/>
      <c r="D17" s="158"/>
      <c r="E17" s="158"/>
      <c r="F17" s="158"/>
      <c r="G17" s="158"/>
      <c r="H17" s="158"/>
      <c r="I17" s="386">
        <f>H17*6.9%+H17</f>
        <v>0</v>
      </c>
    </row>
    <row r="18" spans="1:9" x14ac:dyDescent="0.25">
      <c r="A18" s="96" t="s">
        <v>211</v>
      </c>
      <c r="B18" s="148">
        <v>64435</v>
      </c>
      <c r="C18" s="158">
        <f>B18*4.5%+B18</f>
        <v>67334.574999999997</v>
      </c>
      <c r="D18" s="158"/>
      <c r="E18" s="158">
        <f t="shared" ref="E18" si="9">C18-D18</f>
        <v>67334.574999999997</v>
      </c>
      <c r="F18" s="158"/>
      <c r="G18" s="158">
        <f t="shared" ref="G18" si="10">C18+F18</f>
        <v>67334.574999999997</v>
      </c>
      <c r="H18" s="158">
        <f>C18*6.25%+C18</f>
        <v>71542.985937499994</v>
      </c>
      <c r="I18" s="158">
        <f>H18*6.25%+H18</f>
        <v>76014.422558593738</v>
      </c>
    </row>
    <row r="19" spans="1:9" x14ac:dyDescent="0.25">
      <c r="A19" s="139" t="s">
        <v>211</v>
      </c>
      <c r="B19" s="89">
        <f>B18</f>
        <v>64435</v>
      </c>
      <c r="C19" s="246">
        <f>C18</f>
        <v>67334.574999999997</v>
      </c>
      <c r="D19" s="246">
        <f>D18</f>
        <v>0</v>
      </c>
      <c r="E19" s="246">
        <f>E18</f>
        <v>67334.574999999997</v>
      </c>
      <c r="F19" s="246">
        <f t="shared" ref="F19:G19" si="11">F18</f>
        <v>0</v>
      </c>
      <c r="G19" s="246">
        <f t="shared" si="11"/>
        <v>67334.574999999997</v>
      </c>
      <c r="H19" s="246">
        <f>H18</f>
        <v>71542.985937499994</v>
      </c>
      <c r="I19" s="246">
        <f>I18</f>
        <v>76014.422558593738</v>
      </c>
    </row>
    <row r="20" spans="1:9" x14ac:dyDescent="0.25">
      <c r="A20" s="139"/>
      <c r="B20" s="89"/>
      <c r="C20" s="246"/>
      <c r="D20" s="246"/>
      <c r="E20" s="246"/>
      <c r="F20" s="246"/>
      <c r="G20" s="246"/>
      <c r="H20" s="246"/>
      <c r="I20" s="246"/>
    </row>
    <row r="21" spans="1:9" x14ac:dyDescent="0.25">
      <c r="A21" s="139"/>
      <c r="B21" s="89"/>
      <c r="C21" s="246"/>
      <c r="D21" s="246"/>
      <c r="E21" s="246"/>
      <c r="F21" s="246"/>
      <c r="G21" s="246"/>
      <c r="H21" s="246"/>
      <c r="I21" s="246"/>
    </row>
    <row r="22" spans="1:9" x14ac:dyDescent="0.25">
      <c r="A22" s="96" t="s">
        <v>9</v>
      </c>
      <c r="B22" s="89"/>
      <c r="C22" s="158">
        <v>26994</v>
      </c>
      <c r="D22" s="158"/>
      <c r="E22" s="158">
        <f t="shared" ref="E22:E28" si="12">C22-D22</f>
        <v>26994</v>
      </c>
      <c r="F22" s="805">
        <v>-26994</v>
      </c>
      <c r="G22" s="158">
        <f t="shared" ref="G22:G28" si="13">C22+F22</f>
        <v>0</v>
      </c>
      <c r="H22" s="158">
        <f>C22*6.25%+C22</f>
        <v>28681.125</v>
      </c>
      <c r="I22" s="386">
        <f>H22*6.25%+H22</f>
        <v>30473.6953125</v>
      </c>
    </row>
    <row r="23" spans="1:9" x14ac:dyDescent="0.25">
      <c r="A23" s="96" t="s">
        <v>61</v>
      </c>
      <c r="B23" s="91">
        <v>750000</v>
      </c>
      <c r="C23" s="158">
        <v>500000</v>
      </c>
      <c r="D23" s="158">
        <f>42225+276192</f>
        <v>318417</v>
      </c>
      <c r="E23" s="158">
        <f t="shared" si="12"/>
        <v>181583</v>
      </c>
      <c r="F23" s="91">
        <v>0</v>
      </c>
      <c r="G23" s="158">
        <f t="shared" si="13"/>
        <v>500000</v>
      </c>
      <c r="H23" s="158">
        <v>1250000</v>
      </c>
      <c r="I23" s="386">
        <v>1300000</v>
      </c>
    </row>
    <row r="24" spans="1:9" x14ac:dyDescent="0.25">
      <c r="A24" s="96" t="s">
        <v>752</v>
      </c>
      <c r="B24" s="91">
        <v>50000</v>
      </c>
      <c r="C24" s="158">
        <v>100000</v>
      </c>
      <c r="D24" s="158"/>
      <c r="E24" s="158">
        <f t="shared" si="12"/>
        <v>100000</v>
      </c>
      <c r="F24" s="91">
        <v>-100000</v>
      </c>
      <c r="G24" s="158">
        <f t="shared" si="13"/>
        <v>0</v>
      </c>
      <c r="H24" s="158">
        <v>100000</v>
      </c>
      <c r="I24" s="386">
        <v>100000</v>
      </c>
    </row>
    <row r="25" spans="1:9" x14ac:dyDescent="0.25">
      <c r="A25" s="96" t="s">
        <v>443</v>
      </c>
      <c r="B25" s="91">
        <f>450000-250000</f>
        <v>200000</v>
      </c>
      <c r="C25" s="158">
        <v>600000</v>
      </c>
      <c r="D25" s="158"/>
      <c r="E25" s="158">
        <f t="shared" si="12"/>
        <v>600000</v>
      </c>
      <c r="F25" s="805">
        <v>-400000</v>
      </c>
      <c r="G25" s="158">
        <f t="shared" si="13"/>
        <v>200000</v>
      </c>
      <c r="H25" s="158">
        <v>650000</v>
      </c>
      <c r="I25" s="386">
        <v>700000</v>
      </c>
    </row>
    <row r="26" spans="1:9" s="474" customFormat="1" x14ac:dyDescent="0.25">
      <c r="A26" s="253" t="s">
        <v>742</v>
      </c>
      <c r="B26" s="158">
        <v>950000</v>
      </c>
      <c r="C26" s="158">
        <v>1000000</v>
      </c>
      <c r="D26" s="158">
        <v>826087</v>
      </c>
      <c r="E26" s="158">
        <f t="shared" si="12"/>
        <v>173913</v>
      </c>
      <c r="F26" s="158"/>
      <c r="G26" s="158">
        <f t="shared" si="13"/>
        <v>1000000</v>
      </c>
      <c r="H26" s="158">
        <v>1000000</v>
      </c>
      <c r="I26" s="386">
        <v>1000000</v>
      </c>
    </row>
    <row r="27" spans="1:9" x14ac:dyDescent="0.25">
      <c r="A27" s="96" t="s">
        <v>59</v>
      </c>
      <c r="B27" s="91">
        <v>50000</v>
      </c>
      <c r="C27" s="158">
        <f>B27*4.5%+B27</f>
        <v>52250</v>
      </c>
      <c r="D27" s="158"/>
      <c r="E27" s="158">
        <f t="shared" si="12"/>
        <v>52250</v>
      </c>
      <c r="F27" s="91">
        <v>-25000</v>
      </c>
      <c r="G27" s="158">
        <f t="shared" si="13"/>
        <v>27250</v>
      </c>
      <c r="H27" s="158">
        <f>C27*6.25%+C27</f>
        <v>55515.625</v>
      </c>
      <c r="I27" s="386">
        <f>H27*6.25%+H27</f>
        <v>58985.3515625</v>
      </c>
    </row>
    <row r="28" spans="1:9" x14ac:dyDescent="0.25">
      <c r="A28" s="96" t="s">
        <v>60</v>
      </c>
      <c r="B28" s="91">
        <v>260000</v>
      </c>
      <c r="C28" s="158">
        <f>B28*4.5%+B28</f>
        <v>271700</v>
      </c>
      <c r="D28" s="158"/>
      <c r="E28" s="158">
        <f t="shared" si="12"/>
        <v>271700</v>
      </c>
      <c r="F28" s="805">
        <f>-271700*0.5</f>
        <v>-135850</v>
      </c>
      <c r="G28" s="158">
        <f t="shared" si="13"/>
        <v>135850</v>
      </c>
      <c r="H28" s="158">
        <f>C28*6.25%+C28</f>
        <v>288681.25</v>
      </c>
      <c r="I28" s="386">
        <f>H28*6.25%+H28</f>
        <v>306723.828125</v>
      </c>
    </row>
    <row r="29" spans="1:9" s="167" customFormat="1" x14ac:dyDescent="0.25">
      <c r="A29" s="412" t="s">
        <v>42</v>
      </c>
      <c r="B29" s="89">
        <f>SUM(B23:B28)</f>
        <v>2260000</v>
      </c>
      <c r="C29" s="246">
        <f>SUM(C22:C28)</f>
        <v>2550944</v>
      </c>
      <c r="D29" s="246">
        <f>SUM(D22:D28)</f>
        <v>1144504</v>
      </c>
      <c r="E29" s="246">
        <f>SUM(E22:E28)</f>
        <v>1406440</v>
      </c>
      <c r="F29" s="246">
        <f t="shared" ref="F29:G29" si="14">SUM(F22:F28)</f>
        <v>-687844</v>
      </c>
      <c r="G29" s="246">
        <f t="shared" si="14"/>
        <v>1863100</v>
      </c>
      <c r="H29" s="246">
        <f>SUM(H22:H28)</f>
        <v>3372878</v>
      </c>
      <c r="I29" s="246">
        <f>SUM(I22:I28)</f>
        <v>3496182.875</v>
      </c>
    </row>
    <row r="30" spans="1:9" x14ac:dyDescent="0.25">
      <c r="A30" s="388"/>
      <c r="B30" s="91"/>
      <c r="C30" s="158"/>
      <c r="D30" s="158"/>
      <c r="E30" s="158"/>
      <c r="F30" s="158"/>
      <c r="G30" s="158"/>
      <c r="H30" s="158"/>
      <c r="I30" s="386">
        <f>H30*6.9%+H30</f>
        <v>0</v>
      </c>
    </row>
    <row r="31" spans="1:9" s="167" customFormat="1" ht="15.75" thickBot="1" x14ac:dyDescent="0.3">
      <c r="A31" s="390" t="s">
        <v>48</v>
      </c>
      <c r="B31" s="391">
        <f>B9+B16+B19+B29</f>
        <v>6916599</v>
      </c>
      <c r="C31" s="392">
        <f>C9+C16+C19+C29</f>
        <v>7713139.8250000002</v>
      </c>
      <c r="D31" s="392">
        <f>D9+D16+D19+D29</f>
        <v>3081000</v>
      </c>
      <c r="E31" s="392">
        <f>E9+E16+E19+E29</f>
        <v>4632139.8250000002</v>
      </c>
      <c r="F31" s="392">
        <f t="shared" ref="F31:G31" si="15">F9+F16+F19+F29</f>
        <v>-1082629</v>
      </c>
      <c r="G31" s="392">
        <f t="shared" si="15"/>
        <v>6630510.8250000002</v>
      </c>
      <c r="H31" s="392">
        <f>H9+H16+H19+H29</f>
        <v>8857906.0640625004</v>
      </c>
      <c r="I31" s="393">
        <f>I9+I16+I19+I29</f>
        <v>9324233.6480664052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8" orientation="landscape" r:id="rId1"/>
  <headerFooter alignWithMargins="0">
    <oddFooter>&amp;A&amp;RPage &amp;P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I35"/>
  <sheetViews>
    <sheetView view="pageBreakPreview" topLeftCell="A2" zoomScale="90" zoomScaleNormal="87" zoomScaleSheetLayoutView="90" workbookViewId="0">
      <selection activeCell="F25" sqref="F25"/>
    </sheetView>
  </sheetViews>
  <sheetFormatPr defaultColWidth="9.28515625" defaultRowHeight="15" x14ac:dyDescent="0.25"/>
  <cols>
    <col min="1" max="1" width="40.7109375" style="97" customWidth="1"/>
    <col min="2" max="2" width="17.7109375" style="152" hidden="1" customWidth="1"/>
    <col min="3" max="7" width="17.7109375" style="152" customWidth="1"/>
    <col min="8" max="8" width="14.28515625" style="152" customWidth="1"/>
    <col min="9" max="9" width="16.140625" style="97" customWidth="1"/>
    <col min="10" max="16384" width="9.28515625" style="97"/>
  </cols>
  <sheetData>
    <row r="1" spans="1:9" s="93" customFormat="1" ht="18.75" x14ac:dyDescent="0.3">
      <c r="A1" s="142" t="s">
        <v>474</v>
      </c>
      <c r="B1" s="163"/>
      <c r="C1" s="163"/>
      <c r="D1" s="163"/>
      <c r="E1" s="163"/>
      <c r="F1" s="163"/>
      <c r="G1" s="163"/>
      <c r="H1" s="163"/>
    </row>
    <row r="2" spans="1:9" s="93" customFormat="1" ht="19.5" thickBot="1" x14ac:dyDescent="0.35">
      <c r="A2" s="142"/>
      <c r="B2" s="163"/>
      <c r="C2" s="163"/>
      <c r="D2" s="163"/>
      <c r="E2" s="163"/>
      <c r="F2" s="163"/>
      <c r="G2" s="163"/>
      <c r="H2" s="163"/>
    </row>
    <row r="3" spans="1:9" s="93" customFormat="1" ht="45.75" customHeight="1" thickBot="1" x14ac:dyDescent="0.3">
      <c r="A3" s="382" t="s">
        <v>39</v>
      </c>
      <c r="B3" s="383" t="s">
        <v>393</v>
      </c>
      <c r="C3" s="383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3" t="s">
        <v>556</v>
      </c>
      <c r="I3" s="402" t="s">
        <v>644</v>
      </c>
    </row>
    <row r="4" spans="1:9" s="93" customFormat="1" x14ac:dyDescent="0.25">
      <c r="A4" s="96" t="s">
        <v>2</v>
      </c>
      <c r="B4" s="91">
        <v>1354491</v>
      </c>
      <c r="C4" s="91">
        <f>B4*6.25%+B4</f>
        <v>1439146.6875</v>
      </c>
      <c r="D4" s="91">
        <f>15047091+458738</f>
        <v>15505829</v>
      </c>
      <c r="E4" s="91">
        <f>C4-D4</f>
        <v>-14066682.3125</v>
      </c>
      <c r="F4" s="158">
        <v>0</v>
      </c>
      <c r="G4" s="91">
        <f>C4+F4</f>
        <v>1439146.6875</v>
      </c>
      <c r="H4" s="91">
        <f t="shared" ref="H4:H9" si="0">C4*6.25%+C4</f>
        <v>1529093.35546875</v>
      </c>
      <c r="I4" s="404">
        <f>H4*6.25%+H4</f>
        <v>1624661.6901855469</v>
      </c>
    </row>
    <row r="5" spans="1:9" s="93" customFormat="1" x14ac:dyDescent="0.25">
      <c r="A5" s="96" t="s">
        <v>3</v>
      </c>
      <c r="B5" s="91">
        <v>34170</v>
      </c>
      <c r="C5" s="91">
        <f t="shared" ref="C5:I9" si="1">B5*6.25%+B5</f>
        <v>36305.625</v>
      </c>
      <c r="D5" s="91">
        <v>412668</v>
      </c>
      <c r="E5" s="91">
        <f t="shared" ref="E5:E9" si="2">C5-D5</f>
        <v>-376362.375</v>
      </c>
      <c r="F5" s="158">
        <v>0</v>
      </c>
      <c r="G5" s="91">
        <f t="shared" ref="G5:G9" si="3">C5+F5</f>
        <v>36305.625</v>
      </c>
      <c r="H5" s="91">
        <f t="shared" si="0"/>
        <v>38574.7265625</v>
      </c>
      <c r="I5" s="404">
        <f t="shared" si="1"/>
        <v>40985.64697265625</v>
      </c>
    </row>
    <row r="6" spans="1:9" s="93" customFormat="1" x14ac:dyDescent="0.25">
      <c r="A6" s="96" t="s">
        <v>17</v>
      </c>
      <c r="B6" s="91">
        <v>0</v>
      </c>
      <c r="C6" s="91">
        <f t="shared" si="1"/>
        <v>0</v>
      </c>
      <c r="D6" s="91">
        <v>36950</v>
      </c>
      <c r="E6" s="91">
        <f t="shared" si="2"/>
        <v>-36950</v>
      </c>
      <c r="F6" s="158">
        <v>50000</v>
      </c>
      <c r="G6" s="91">
        <f t="shared" si="3"/>
        <v>50000</v>
      </c>
      <c r="H6" s="91">
        <f t="shared" si="0"/>
        <v>0</v>
      </c>
      <c r="I6" s="404">
        <f t="shared" si="1"/>
        <v>0</v>
      </c>
    </row>
    <row r="7" spans="1:9" s="93" customFormat="1" x14ac:dyDescent="0.25">
      <c r="A7" s="96" t="s">
        <v>4</v>
      </c>
      <c r="B7" s="91">
        <v>136913</v>
      </c>
      <c r="C7" s="91">
        <f t="shared" si="1"/>
        <v>145470.0625</v>
      </c>
      <c r="D7" s="91">
        <v>27006</v>
      </c>
      <c r="E7" s="91">
        <f t="shared" si="2"/>
        <v>118464.0625</v>
      </c>
      <c r="F7" s="158">
        <v>0</v>
      </c>
      <c r="G7" s="91">
        <f t="shared" si="3"/>
        <v>145470.0625</v>
      </c>
      <c r="H7" s="91">
        <f t="shared" si="0"/>
        <v>154561.94140625</v>
      </c>
      <c r="I7" s="404">
        <f t="shared" si="1"/>
        <v>164222.06274414063</v>
      </c>
    </row>
    <row r="8" spans="1:9" s="93" customFormat="1" x14ac:dyDescent="0.25">
      <c r="A8" s="96" t="s">
        <v>173</v>
      </c>
      <c r="B8" s="91"/>
      <c r="C8" s="91">
        <v>75956</v>
      </c>
      <c r="D8" s="91">
        <v>22752</v>
      </c>
      <c r="E8" s="91">
        <f t="shared" si="2"/>
        <v>53204</v>
      </c>
      <c r="F8" s="158">
        <v>0</v>
      </c>
      <c r="G8" s="91">
        <f t="shared" si="3"/>
        <v>75956</v>
      </c>
      <c r="H8" s="91">
        <f t="shared" si="0"/>
        <v>80703.25</v>
      </c>
      <c r="I8" s="404">
        <f>H8*6.25%+H8</f>
        <v>85747.203125</v>
      </c>
    </row>
    <row r="9" spans="1:9" s="93" customFormat="1" x14ac:dyDescent="0.25">
      <c r="A9" s="96" t="s">
        <v>5</v>
      </c>
      <c r="B9" s="91">
        <v>205370</v>
      </c>
      <c r="C9" s="91">
        <f t="shared" si="1"/>
        <v>218205.625</v>
      </c>
      <c r="D9" s="91">
        <f>1361034+125000</f>
        <v>1486034</v>
      </c>
      <c r="E9" s="91">
        <f t="shared" si="2"/>
        <v>-1267828.375</v>
      </c>
      <c r="F9" s="91">
        <v>0</v>
      </c>
      <c r="G9" s="91">
        <f t="shared" si="3"/>
        <v>218205.625</v>
      </c>
      <c r="H9" s="91">
        <f t="shared" si="0"/>
        <v>231843.4765625</v>
      </c>
      <c r="I9" s="404">
        <f t="shared" si="1"/>
        <v>246333.69384765625</v>
      </c>
    </row>
    <row r="10" spans="1:9" s="167" customFormat="1" x14ac:dyDescent="0.25">
      <c r="A10" s="343" t="s">
        <v>40</v>
      </c>
      <c r="B10" s="89">
        <f>SUM(B4:B9)</f>
        <v>1730944</v>
      </c>
      <c r="C10" s="89">
        <f>SUM(C4:C9)</f>
        <v>1915084</v>
      </c>
      <c r="D10" s="89">
        <f>SUM(D4:D9)</f>
        <v>17491239</v>
      </c>
      <c r="E10" s="89">
        <f>SUM(E4:E9)</f>
        <v>-15576155</v>
      </c>
      <c r="F10" s="89">
        <f t="shared" ref="F10:G10" si="4">SUM(F4:F9)</f>
        <v>50000</v>
      </c>
      <c r="G10" s="89">
        <f t="shared" si="4"/>
        <v>1965084</v>
      </c>
      <c r="H10" s="89">
        <f>SUM(H4:H9)</f>
        <v>2034776.75</v>
      </c>
      <c r="I10" s="399">
        <f>SUM(I4:I9)</f>
        <v>2161950.296875</v>
      </c>
    </row>
    <row r="11" spans="1:9" s="93" customFormat="1" x14ac:dyDescent="0.25">
      <c r="A11" s="96"/>
      <c r="B11" s="91"/>
      <c r="C11" s="91"/>
      <c r="D11" s="91"/>
      <c r="E11" s="91"/>
      <c r="F11" s="91"/>
      <c r="G11" s="91"/>
      <c r="H11" s="91"/>
      <c r="I11" s="404">
        <f>H11*6.9%+H11</f>
        <v>0</v>
      </c>
    </row>
    <row r="12" spans="1:9" s="93" customFormat="1" x14ac:dyDescent="0.25">
      <c r="A12" s="96" t="s">
        <v>6</v>
      </c>
      <c r="B12" s="91">
        <v>46452</v>
      </c>
      <c r="C12" s="91">
        <f>B12*6.25%+B12</f>
        <v>49355.25</v>
      </c>
      <c r="D12" s="91">
        <v>275974</v>
      </c>
      <c r="E12" s="91">
        <f t="shared" ref="E12:E15" si="5">C12-D12</f>
        <v>-226618.75</v>
      </c>
      <c r="F12" s="91">
        <v>281000</v>
      </c>
      <c r="G12" s="91">
        <f t="shared" ref="G12:G16" si="6">C12+F12</f>
        <v>330355.25</v>
      </c>
      <c r="H12" s="91">
        <f>C12*6.25%+C12</f>
        <v>52439.953125</v>
      </c>
      <c r="I12" s="404">
        <f>H12*6.25%+H12</f>
        <v>55717.4501953125</v>
      </c>
    </row>
    <row r="13" spans="1:9" s="93" customFormat="1" x14ac:dyDescent="0.25">
      <c r="A13" s="96" t="s">
        <v>7</v>
      </c>
      <c r="B13" s="91">
        <v>13545</v>
      </c>
      <c r="C13" s="91">
        <f t="shared" ref="C13:I14" si="7">B13*6.25%+B13</f>
        <v>14391.5625</v>
      </c>
      <c r="D13" s="91">
        <v>106336</v>
      </c>
      <c r="E13" s="91">
        <f t="shared" si="5"/>
        <v>-91944.4375</v>
      </c>
      <c r="F13" s="91">
        <v>110000</v>
      </c>
      <c r="G13" s="91">
        <f t="shared" si="6"/>
        <v>124391.5625</v>
      </c>
      <c r="H13" s="91">
        <f>C13*6.25%+C13</f>
        <v>15291.03515625</v>
      </c>
      <c r="I13" s="404">
        <f t="shared" si="7"/>
        <v>16246.724853515625</v>
      </c>
    </row>
    <row r="14" spans="1:9" s="93" customFormat="1" x14ac:dyDescent="0.25">
      <c r="A14" s="96" t="s">
        <v>53</v>
      </c>
      <c r="B14" s="91">
        <v>90209</v>
      </c>
      <c r="C14" s="91">
        <f t="shared" si="7"/>
        <v>95847.0625</v>
      </c>
      <c r="D14" s="91">
        <v>863565</v>
      </c>
      <c r="E14" s="91">
        <f t="shared" si="5"/>
        <v>-767717.9375</v>
      </c>
      <c r="F14" s="91">
        <v>1000000</v>
      </c>
      <c r="G14" s="91">
        <f t="shared" si="6"/>
        <v>1095847.0625</v>
      </c>
      <c r="H14" s="91">
        <f>C14*6.25%+C14</f>
        <v>101837.50390625</v>
      </c>
      <c r="I14" s="404">
        <f t="shared" si="7"/>
        <v>108202.34790039063</v>
      </c>
    </row>
    <row r="15" spans="1:9" s="93" customFormat="1" x14ac:dyDescent="0.25">
      <c r="A15" s="96" t="s">
        <v>440</v>
      </c>
      <c r="B15" s="91"/>
      <c r="C15" s="91">
        <v>4200</v>
      </c>
      <c r="D15" s="91">
        <v>5759</v>
      </c>
      <c r="E15" s="91">
        <f t="shared" si="5"/>
        <v>-1559</v>
      </c>
      <c r="F15" s="91">
        <v>6000</v>
      </c>
      <c r="G15" s="91">
        <f t="shared" si="6"/>
        <v>10200</v>
      </c>
      <c r="H15" s="91">
        <v>4489.8</v>
      </c>
      <c r="I15" s="404">
        <v>4799.5962</v>
      </c>
    </row>
    <row r="16" spans="1:9" s="93" customFormat="1" x14ac:dyDescent="0.25">
      <c r="A16" s="785" t="s">
        <v>872</v>
      </c>
      <c r="B16" s="91">
        <v>13545</v>
      </c>
      <c r="C16" s="203">
        <v>0</v>
      </c>
      <c r="D16" s="203">
        <v>0</v>
      </c>
      <c r="E16" s="203">
        <v>0</v>
      </c>
      <c r="F16" s="203">
        <v>108</v>
      </c>
      <c r="G16" s="91">
        <f t="shared" si="6"/>
        <v>108</v>
      </c>
      <c r="H16" s="203"/>
      <c r="I16" s="203"/>
    </row>
    <row r="17" spans="1:9" s="167" customFormat="1" x14ac:dyDescent="0.25">
      <c r="A17" s="343" t="s">
        <v>41</v>
      </c>
      <c r="B17" s="89">
        <f>SUM(B12:B16)</f>
        <v>163751</v>
      </c>
      <c r="C17" s="89">
        <f>SUM(C12:C16)</f>
        <v>163793.875</v>
      </c>
      <c r="D17" s="89">
        <f t="shared" ref="D17:G17" si="8">SUM(D12:D16)</f>
        <v>1251634</v>
      </c>
      <c r="E17" s="89">
        <f t="shared" si="8"/>
        <v>-1087840.125</v>
      </c>
      <c r="F17" s="89">
        <f t="shared" si="8"/>
        <v>1397108</v>
      </c>
      <c r="G17" s="89">
        <f t="shared" si="8"/>
        <v>1560901.875</v>
      </c>
      <c r="H17" s="89">
        <f>SUM(H12:H16)</f>
        <v>174058.29218749999</v>
      </c>
      <c r="I17" s="89">
        <f>SUM(I12:I16)</f>
        <v>184966.11914921875</v>
      </c>
    </row>
    <row r="18" spans="1:9" s="167" customFormat="1" x14ac:dyDescent="0.25">
      <c r="A18" s="139"/>
      <c r="B18" s="89"/>
      <c r="C18" s="89"/>
      <c r="D18" s="89"/>
      <c r="E18" s="89"/>
      <c r="F18" s="89"/>
      <c r="G18" s="89"/>
      <c r="H18" s="89"/>
      <c r="I18" s="404">
        <f>H18*6.9%+H18</f>
        <v>0</v>
      </c>
    </row>
    <row r="19" spans="1:9" x14ac:dyDescent="0.25">
      <c r="A19" s="96" t="s">
        <v>211</v>
      </c>
      <c r="B19" s="148">
        <v>2263324</v>
      </c>
      <c r="C19" s="91">
        <f>B19*4.5%+B19</f>
        <v>2365173.58</v>
      </c>
      <c r="D19" s="91"/>
      <c r="E19" s="91">
        <f t="shared" ref="E19" si="9">C19-D19</f>
        <v>2365173.58</v>
      </c>
      <c r="F19" s="91">
        <v>0</v>
      </c>
      <c r="G19" s="91">
        <f t="shared" ref="G19" si="10">C19+F19</f>
        <v>2365173.58</v>
      </c>
      <c r="H19" s="91">
        <f>C19*6.25%+C19</f>
        <v>2512996.92875</v>
      </c>
      <c r="I19" s="404">
        <f>H19*6.25%+H19</f>
        <v>2670059.236796875</v>
      </c>
    </row>
    <row r="20" spans="1:9" x14ac:dyDescent="0.25">
      <c r="A20" s="343" t="s">
        <v>211</v>
      </c>
      <c r="B20" s="89">
        <f>B19</f>
        <v>2263324</v>
      </c>
      <c r="C20" s="89">
        <f>C19</f>
        <v>2365173.58</v>
      </c>
      <c r="D20" s="89">
        <f>D19</f>
        <v>0</v>
      </c>
      <c r="E20" s="89">
        <f>E19</f>
        <v>2365173.58</v>
      </c>
      <c r="F20" s="89">
        <f t="shared" ref="F20:G20" si="11">F19</f>
        <v>0</v>
      </c>
      <c r="G20" s="89">
        <f t="shared" si="11"/>
        <v>2365173.58</v>
      </c>
      <c r="H20" s="89">
        <f>H19</f>
        <v>2512996.92875</v>
      </c>
      <c r="I20" s="399">
        <f>I19</f>
        <v>2670059.236796875</v>
      </c>
    </row>
    <row r="21" spans="1:9" x14ac:dyDescent="0.25">
      <c r="A21" s="139"/>
      <c r="B21" s="89"/>
      <c r="C21" s="89"/>
      <c r="D21" s="89"/>
      <c r="E21" s="89"/>
      <c r="F21" s="246"/>
      <c r="G21" s="89"/>
      <c r="H21" s="89"/>
      <c r="I21" s="404">
        <f>H21*6.9%+H21</f>
        <v>0</v>
      </c>
    </row>
    <row r="22" spans="1:9" s="93" customFormat="1" x14ac:dyDescent="0.25">
      <c r="A22" s="96" t="s">
        <v>20</v>
      </c>
      <c r="B22" s="91">
        <v>60000</v>
      </c>
      <c r="C22" s="91">
        <f>B22*6.25%+B22</f>
        <v>63750</v>
      </c>
      <c r="D22" s="91"/>
      <c r="E22" s="91">
        <f t="shared" ref="E22" si="12">C22-D22</f>
        <v>63750</v>
      </c>
      <c r="F22" s="158">
        <v>0</v>
      </c>
      <c r="G22" s="91">
        <f t="shared" ref="G22" si="13">C22+F22</f>
        <v>63750</v>
      </c>
      <c r="H22" s="91">
        <f>C22*6.25%+C22</f>
        <v>67734.375</v>
      </c>
      <c r="I22" s="404">
        <f>H22*6.25%+H22</f>
        <v>71967.7734375</v>
      </c>
    </row>
    <row r="23" spans="1:9" s="167" customFormat="1" x14ac:dyDescent="0.25">
      <c r="A23" s="343" t="s">
        <v>43</v>
      </c>
      <c r="B23" s="89">
        <f>SUM(B22)</f>
        <v>60000</v>
      </c>
      <c r="C23" s="89">
        <f>SUM(C22)</f>
        <v>63750</v>
      </c>
      <c r="D23" s="89">
        <f>SUM(D22)</f>
        <v>0</v>
      </c>
      <c r="E23" s="89">
        <f>SUM(E22)</f>
        <v>63750</v>
      </c>
      <c r="F23" s="246">
        <f t="shared" ref="F23:G23" si="14">SUM(F22)</f>
        <v>0</v>
      </c>
      <c r="G23" s="89">
        <f t="shared" si="14"/>
        <v>63750</v>
      </c>
      <c r="H23" s="89">
        <f>SUM(H22)</f>
        <v>67734.375</v>
      </c>
      <c r="I23" s="399">
        <f>SUM(I22)</f>
        <v>71967.7734375</v>
      </c>
    </row>
    <row r="24" spans="1:9" s="167" customFormat="1" x14ac:dyDescent="0.25">
      <c r="A24" s="139"/>
      <c r="B24" s="89"/>
      <c r="C24" s="89"/>
      <c r="D24" s="89"/>
      <c r="E24" s="89"/>
      <c r="F24" s="246"/>
      <c r="G24" s="89"/>
      <c r="H24" s="89"/>
      <c r="I24" s="399"/>
    </row>
    <row r="25" spans="1:9" s="93" customFormat="1" x14ac:dyDescent="0.25">
      <c r="A25" s="96" t="s">
        <v>9</v>
      </c>
      <c r="B25" s="91"/>
      <c r="C25" s="91">
        <f>B16*6.25%+B16</f>
        <v>14391.5625</v>
      </c>
      <c r="D25" s="91">
        <v>116385</v>
      </c>
      <c r="E25" s="91">
        <f t="shared" ref="E25:E29" si="15">C25-D25</f>
        <v>-101993.4375</v>
      </c>
      <c r="F25" s="91">
        <v>0</v>
      </c>
      <c r="G25" s="91">
        <f t="shared" ref="G25:G29" si="16">C25+F25</f>
        <v>14391.5625</v>
      </c>
      <c r="H25" s="91">
        <f>C25*6.25%+C25</f>
        <v>15291.03515625</v>
      </c>
      <c r="I25" s="404">
        <f>H25*6.25%+H25</f>
        <v>16246.724853515625</v>
      </c>
    </row>
    <row r="26" spans="1:9" s="93" customFormat="1" x14ac:dyDescent="0.25">
      <c r="A26" s="96" t="s">
        <v>63</v>
      </c>
      <c r="B26" s="91">
        <v>1200</v>
      </c>
      <c r="C26" s="91">
        <f>B26*4.5%+B26</f>
        <v>1254</v>
      </c>
      <c r="D26" s="91"/>
      <c r="E26" s="91">
        <f t="shared" si="15"/>
        <v>1254</v>
      </c>
      <c r="F26" s="91">
        <v>0</v>
      </c>
      <c r="G26" s="91">
        <f t="shared" si="16"/>
        <v>1254</v>
      </c>
      <c r="H26" s="91">
        <f>C26*6.25%+C26</f>
        <v>1332.375</v>
      </c>
      <c r="I26" s="404">
        <f>H26*6.25%+H26</f>
        <v>1415.6484375</v>
      </c>
    </row>
    <row r="27" spans="1:9" s="93" customFormat="1" x14ac:dyDescent="0.25">
      <c r="A27" s="96" t="s">
        <v>59</v>
      </c>
      <c r="B27" s="91">
        <v>10000</v>
      </c>
      <c r="C27" s="91">
        <f>B27*4.5%+B27</f>
        <v>10450</v>
      </c>
      <c r="D27" s="91"/>
      <c r="E27" s="91">
        <f t="shared" si="15"/>
        <v>10450</v>
      </c>
      <c r="F27" s="805">
        <v>-10450</v>
      </c>
      <c r="G27" s="91">
        <f t="shared" si="16"/>
        <v>0</v>
      </c>
      <c r="H27" s="91">
        <f>C27*6.25%+C27</f>
        <v>11103.125</v>
      </c>
      <c r="I27" s="404">
        <f t="shared" ref="I27:I28" si="17">H27*6.25%+H27</f>
        <v>11797.0703125</v>
      </c>
    </row>
    <row r="28" spans="1:9" s="93" customFormat="1" x14ac:dyDescent="0.25">
      <c r="A28" s="96" t="s">
        <v>79</v>
      </c>
      <c r="B28" s="91">
        <f>480000/2</f>
        <v>240000</v>
      </c>
      <c r="C28" s="91">
        <f>B28*4.5%+B28</f>
        <v>250800</v>
      </c>
      <c r="D28" s="91"/>
      <c r="E28" s="91">
        <f t="shared" si="15"/>
        <v>250800</v>
      </c>
      <c r="F28" s="805">
        <f>-250800*0.6</f>
        <v>-150480</v>
      </c>
      <c r="G28" s="91">
        <f t="shared" si="16"/>
        <v>100320</v>
      </c>
      <c r="H28" s="91">
        <f>C28*6.25%+C28</f>
        <v>266475</v>
      </c>
      <c r="I28" s="404">
        <f t="shared" si="17"/>
        <v>283129.6875</v>
      </c>
    </row>
    <row r="29" spans="1:9" s="92" customFormat="1" x14ac:dyDescent="0.25">
      <c r="A29" s="88" t="s">
        <v>291</v>
      </c>
      <c r="B29" s="91">
        <v>2337000</v>
      </c>
      <c r="C29" s="91">
        <v>2225000</v>
      </c>
      <c r="D29" s="91">
        <v>841234</v>
      </c>
      <c r="E29" s="91">
        <f t="shared" si="15"/>
        <v>1383766</v>
      </c>
      <c r="F29" s="91">
        <v>0</v>
      </c>
      <c r="G29" s="91">
        <f t="shared" si="16"/>
        <v>2225000</v>
      </c>
      <c r="H29" s="91">
        <v>2348000</v>
      </c>
      <c r="I29" s="91">
        <v>2484000</v>
      </c>
    </row>
    <row r="30" spans="1:9" s="167" customFormat="1" x14ac:dyDescent="0.25">
      <c r="A30" s="343" t="s">
        <v>42</v>
      </c>
      <c r="B30" s="89">
        <f>SUM(B26:B29)</f>
        <v>2588200</v>
      </c>
      <c r="C30" s="89">
        <f t="shared" ref="C30:I30" si="18">SUM(C25:C29)</f>
        <v>2501895.5625</v>
      </c>
      <c r="D30" s="89">
        <f t="shared" si="18"/>
        <v>957619</v>
      </c>
      <c r="E30" s="89">
        <f t="shared" si="18"/>
        <v>1544276.5625</v>
      </c>
      <c r="F30" s="89">
        <f t="shared" si="18"/>
        <v>-160930</v>
      </c>
      <c r="G30" s="89">
        <f t="shared" si="18"/>
        <v>2340965.5625</v>
      </c>
      <c r="H30" s="89">
        <f t="shared" si="18"/>
        <v>2642201.53515625</v>
      </c>
      <c r="I30" s="89">
        <f t="shared" si="18"/>
        <v>2796589.1311035156</v>
      </c>
    </row>
    <row r="31" spans="1:9" s="167" customFormat="1" x14ac:dyDescent="0.25">
      <c r="A31" s="343"/>
      <c r="B31" s="89"/>
      <c r="C31" s="89"/>
      <c r="D31" s="89"/>
      <c r="E31" s="89"/>
      <c r="F31" s="89"/>
      <c r="G31" s="89"/>
      <c r="H31" s="89"/>
      <c r="I31" s="404">
        <f>H31*6.9%+H31</f>
        <v>0</v>
      </c>
    </row>
    <row r="32" spans="1:9" s="92" customFormat="1" ht="15" customHeight="1" x14ac:dyDescent="0.25">
      <c r="A32" s="270"/>
      <c r="B32" s="91">
        <v>0</v>
      </c>
      <c r="C32" s="372">
        <v>0</v>
      </c>
      <c r="D32" s="372"/>
      <c r="E32" s="372"/>
      <c r="F32" s="372">
        <v>0</v>
      </c>
      <c r="G32" s="91">
        <f t="shared" ref="G32" si="19">C32+F32</f>
        <v>0</v>
      </c>
      <c r="H32" s="372">
        <v>0</v>
      </c>
      <c r="I32" s="386">
        <v>0</v>
      </c>
    </row>
    <row r="33" spans="1:9" s="93" customFormat="1" ht="22.5" customHeight="1" x14ac:dyDescent="0.25">
      <c r="A33" s="343"/>
      <c r="B33" s="89">
        <f t="shared" ref="B33:I33" si="20">SUM(B32:B32)</f>
        <v>0</v>
      </c>
      <c r="C33" s="89">
        <f t="shared" si="20"/>
        <v>0</v>
      </c>
      <c r="D33" s="89">
        <f t="shared" si="20"/>
        <v>0</v>
      </c>
      <c r="E33" s="89">
        <f t="shared" si="20"/>
        <v>0</v>
      </c>
      <c r="F33" s="89">
        <f t="shared" si="20"/>
        <v>0</v>
      </c>
      <c r="G33" s="89">
        <f t="shared" si="20"/>
        <v>0</v>
      </c>
      <c r="H33" s="89">
        <f t="shared" si="20"/>
        <v>0</v>
      </c>
      <c r="I33" s="89">
        <f t="shared" si="20"/>
        <v>0</v>
      </c>
    </row>
    <row r="34" spans="1:9" s="93" customFormat="1" x14ac:dyDescent="0.25">
      <c r="A34" s="343"/>
      <c r="B34" s="89"/>
      <c r="C34" s="89"/>
      <c r="D34" s="89"/>
      <c r="E34" s="89"/>
      <c r="F34" s="89"/>
      <c r="G34" s="89"/>
      <c r="H34" s="89"/>
      <c r="I34" s="404"/>
    </row>
    <row r="35" spans="1:9" ht="15.75" thickBot="1" x14ac:dyDescent="0.3">
      <c r="A35" s="390" t="s">
        <v>48</v>
      </c>
      <c r="B35" s="391">
        <f t="shared" ref="B35:I35" si="21">B10+B17+B20+B23+B30+B33</f>
        <v>6806219</v>
      </c>
      <c r="C35" s="391">
        <f t="shared" si="21"/>
        <v>7009697.0175000001</v>
      </c>
      <c r="D35" s="391">
        <f t="shared" si="21"/>
        <v>19700492</v>
      </c>
      <c r="E35" s="391">
        <f t="shared" si="21"/>
        <v>-12690794.9825</v>
      </c>
      <c r="F35" s="391">
        <f t="shared" si="21"/>
        <v>1286178</v>
      </c>
      <c r="G35" s="391">
        <f t="shared" si="21"/>
        <v>8295875.0175000001</v>
      </c>
      <c r="H35" s="391">
        <f t="shared" si="21"/>
        <v>7431767.8810937498</v>
      </c>
      <c r="I35" s="401">
        <f t="shared" si="21"/>
        <v>7885532.5573621094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Footer>&amp;C&amp;A&amp;RPage &amp;P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BreakPreview" zoomScale="60" zoomScaleNormal="100" workbookViewId="0">
      <selection activeCell="H10" sqref="H10"/>
    </sheetView>
  </sheetViews>
  <sheetFormatPr defaultColWidth="8.85546875" defaultRowHeight="15" x14ac:dyDescent="0.25"/>
  <cols>
    <col min="1" max="1" width="23.42578125" bestFit="1" customWidth="1"/>
    <col min="4" max="4" width="18.42578125" customWidth="1"/>
    <col min="6" max="6" width="13.7109375" customWidth="1"/>
    <col min="7" max="7" width="16" customWidth="1"/>
  </cols>
  <sheetData>
    <row r="1" spans="1:9" ht="18.75" x14ac:dyDescent="0.3">
      <c r="A1" s="142" t="s">
        <v>474</v>
      </c>
    </row>
    <row r="2" spans="1:9" ht="15.75" thickBot="1" x14ac:dyDescent="0.3"/>
    <row r="3" spans="1:9" ht="38.25" customHeight="1" thickBot="1" x14ac:dyDescent="0.3">
      <c r="A3" s="382" t="s">
        <v>39</v>
      </c>
      <c r="B3" s="383" t="s">
        <v>393</v>
      </c>
      <c r="C3" s="383" t="s">
        <v>442</v>
      </c>
      <c r="D3" s="761" t="s">
        <v>800</v>
      </c>
      <c r="E3" s="779" t="s">
        <v>87</v>
      </c>
      <c r="F3" s="756" t="s">
        <v>164</v>
      </c>
      <c r="G3" s="605" t="s">
        <v>789</v>
      </c>
      <c r="H3" s="383" t="s">
        <v>556</v>
      </c>
      <c r="I3" s="402" t="s">
        <v>644</v>
      </c>
    </row>
    <row r="4" spans="1:9" s="745" customFormat="1" ht="15" customHeight="1" x14ac:dyDescent="0.25">
      <c r="A4" s="270" t="s">
        <v>889</v>
      </c>
      <c r="B4" s="91">
        <v>0</v>
      </c>
      <c r="C4" s="372">
        <v>0</v>
      </c>
      <c r="D4" s="372"/>
      <c r="E4" s="372"/>
      <c r="F4" s="372">
        <v>50000000</v>
      </c>
      <c r="G4" s="91">
        <f t="shared" ref="G4" si="0">C4+F4</f>
        <v>50000000</v>
      </c>
      <c r="H4" s="372">
        <v>0</v>
      </c>
      <c r="I4" s="386">
        <v>0</v>
      </c>
    </row>
    <row r="5" spans="1:9" s="746" customFormat="1" ht="22.5" customHeight="1" x14ac:dyDescent="0.25">
      <c r="A5" s="343" t="s">
        <v>45</v>
      </c>
      <c r="B5" s="89">
        <f t="shared" ref="B5:I5" si="1">SUM(B4:B4)</f>
        <v>0</v>
      </c>
      <c r="C5" s="89">
        <f t="shared" si="1"/>
        <v>0</v>
      </c>
      <c r="D5" s="89">
        <f t="shared" si="1"/>
        <v>0</v>
      </c>
      <c r="E5" s="89">
        <f t="shared" si="1"/>
        <v>0</v>
      </c>
      <c r="F5" s="89">
        <f t="shared" si="1"/>
        <v>50000000</v>
      </c>
      <c r="G5" s="89">
        <f t="shared" si="1"/>
        <v>50000000</v>
      </c>
      <c r="H5" s="89">
        <f t="shared" si="1"/>
        <v>0</v>
      </c>
      <c r="I5" s="89">
        <f t="shared" si="1"/>
        <v>0</v>
      </c>
    </row>
  </sheetData>
  <pageMargins left="0.7" right="0.7" top="0.75" bottom="0.75" header="0.3" footer="0.3"/>
  <pageSetup paperSize="9" fitToWidth="0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8"/>
  <sheetViews>
    <sheetView showWhiteSpace="0" view="pageBreakPreview" zoomScaleNormal="100" zoomScaleSheetLayoutView="100" workbookViewId="0">
      <pane xSplit="2" topLeftCell="C1" activePane="topRight" state="frozen"/>
      <selection activeCell="A23" sqref="A23"/>
      <selection pane="topRight" activeCell="F1" sqref="F1"/>
    </sheetView>
  </sheetViews>
  <sheetFormatPr defaultColWidth="9.28515625" defaultRowHeight="15" x14ac:dyDescent="0.25"/>
  <cols>
    <col min="1" max="1" width="54.42578125" style="97" customWidth="1"/>
    <col min="2" max="2" width="18.7109375" style="152" hidden="1" customWidth="1"/>
    <col min="3" max="7" width="16.85546875" style="247" customWidth="1"/>
    <col min="8" max="8" width="14.85546875" style="247" customWidth="1"/>
    <col min="9" max="9" width="14.28515625" style="352" customWidth="1"/>
    <col min="10" max="10" width="18.42578125" style="97" hidden="1" customWidth="1"/>
    <col min="11" max="11" width="17.28515625" style="742" hidden="1" customWidth="1"/>
    <col min="12" max="16384" width="9.28515625" style="97"/>
  </cols>
  <sheetData>
    <row r="1" spans="1:11" s="93" customFormat="1" x14ac:dyDescent="0.25">
      <c r="A1" s="156" t="s">
        <v>551</v>
      </c>
      <c r="B1" s="150"/>
      <c r="C1" s="243"/>
      <c r="D1" s="243"/>
      <c r="E1" s="243"/>
      <c r="F1" s="243"/>
      <c r="G1" s="243"/>
      <c r="H1" s="243"/>
      <c r="I1" s="272"/>
      <c r="K1" s="743"/>
    </row>
    <row r="2" spans="1:11" s="93" customFormat="1" ht="15.75" thickBot="1" x14ac:dyDescent="0.3">
      <c r="A2" s="92"/>
      <c r="B2" s="150"/>
      <c r="C2" s="243"/>
      <c r="D2" s="243"/>
      <c r="E2" s="243"/>
      <c r="F2" s="243"/>
      <c r="G2" s="243"/>
      <c r="H2" s="243"/>
      <c r="I2" s="272"/>
      <c r="K2" s="743"/>
    </row>
    <row r="3" spans="1:11" s="93" customFormat="1" ht="48.75" customHeight="1" thickBot="1" x14ac:dyDescent="0.3">
      <c r="A3" s="382" t="s">
        <v>39</v>
      </c>
      <c r="B3" s="414" t="s">
        <v>393</v>
      </c>
      <c r="C3" s="415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16" t="s">
        <v>556</v>
      </c>
      <c r="I3" s="408" t="s">
        <v>644</v>
      </c>
      <c r="K3" s="743"/>
    </row>
    <row r="4" spans="1:11" s="93" customFormat="1" x14ac:dyDescent="0.25">
      <c r="A4" s="96" t="s">
        <v>2</v>
      </c>
      <c r="B4" s="248">
        <v>4648465</v>
      </c>
      <c r="C4" s="158">
        <f>B4*6.25%+B4</f>
        <v>4938994.0625</v>
      </c>
      <c r="D4" s="239">
        <v>696935</v>
      </c>
      <c r="E4" s="239">
        <f>C4-D4</f>
        <v>4242059.0625</v>
      </c>
      <c r="F4" s="239">
        <v>0</v>
      </c>
      <c r="G4" s="239">
        <f>C4+F4</f>
        <v>4938994.0625</v>
      </c>
      <c r="H4" s="239">
        <f>C4*6.25%+C4</f>
        <v>5247681.19140625</v>
      </c>
      <c r="I4" s="386">
        <f>H4*6.25%+H4</f>
        <v>5575661.2658691406</v>
      </c>
      <c r="K4" s="743"/>
    </row>
    <row r="5" spans="1:11" s="93" customFormat="1" x14ac:dyDescent="0.25">
      <c r="A5" s="96" t="s">
        <v>3</v>
      </c>
      <c r="B5" s="248">
        <v>314539</v>
      </c>
      <c r="C5" s="158">
        <f>B5*6.9%+B5</f>
        <v>336242.19099999999</v>
      </c>
      <c r="D5" s="239"/>
      <c r="E5" s="239">
        <f t="shared" ref="E5:E8" si="0">C5-D5</f>
        <v>336242.19099999999</v>
      </c>
      <c r="F5" s="239">
        <v>0</v>
      </c>
      <c r="G5" s="239">
        <f t="shared" ref="G5:G8" si="1">C5+F5</f>
        <v>336242.19099999999</v>
      </c>
      <c r="H5" s="239">
        <f>C5*6.25%+C5</f>
        <v>357257.32793749997</v>
      </c>
      <c r="I5" s="386">
        <f t="shared" ref="I5:I8" si="2">H5*6.25%+H5</f>
        <v>379585.9109335937</v>
      </c>
      <c r="K5" s="743"/>
    </row>
    <row r="6" spans="1:11" s="93" customFormat="1" x14ac:dyDescent="0.25">
      <c r="A6" s="96" t="s">
        <v>4</v>
      </c>
      <c r="B6" s="248">
        <v>76800</v>
      </c>
      <c r="C6" s="158">
        <f>B6*6.9%+B6</f>
        <v>82099.199999999997</v>
      </c>
      <c r="D6" s="239"/>
      <c r="E6" s="239">
        <f t="shared" si="0"/>
        <v>82099.199999999997</v>
      </c>
      <c r="F6" s="239">
        <v>0</v>
      </c>
      <c r="G6" s="239">
        <f t="shared" si="1"/>
        <v>82099.199999999997</v>
      </c>
      <c r="H6" s="239">
        <f>C6*6.25%+C6</f>
        <v>87230.399999999994</v>
      </c>
      <c r="I6" s="386">
        <f t="shared" si="2"/>
        <v>92682.299999999988</v>
      </c>
      <c r="K6" s="743"/>
    </row>
    <row r="7" spans="1:11" s="93" customFormat="1" x14ac:dyDescent="0.25">
      <c r="A7" s="96" t="s">
        <v>173</v>
      </c>
      <c r="B7" s="248"/>
      <c r="C7" s="158">
        <v>318791</v>
      </c>
      <c r="D7" s="239">
        <v>78947</v>
      </c>
      <c r="E7" s="239">
        <f t="shared" si="0"/>
        <v>239844</v>
      </c>
      <c r="F7" s="239">
        <v>0</v>
      </c>
      <c r="G7" s="239">
        <f t="shared" si="1"/>
        <v>318791</v>
      </c>
      <c r="H7" s="239">
        <f>C7*6.25%+C7</f>
        <v>338715.4375</v>
      </c>
      <c r="I7" s="386">
        <f>H7*6.25%+H7</f>
        <v>359885.15234375</v>
      </c>
      <c r="K7" s="743"/>
    </row>
    <row r="8" spans="1:11" s="93" customFormat="1" x14ac:dyDescent="0.25">
      <c r="A8" s="96" t="s">
        <v>5</v>
      </c>
      <c r="B8" s="248">
        <v>1600206</v>
      </c>
      <c r="C8" s="158">
        <f>B8*6.9%+B8</f>
        <v>1710620.2139999999</v>
      </c>
      <c r="D8" s="239"/>
      <c r="E8" s="239">
        <f t="shared" si="0"/>
        <v>1710620.2139999999</v>
      </c>
      <c r="F8" s="239">
        <v>0</v>
      </c>
      <c r="G8" s="239">
        <f t="shared" si="1"/>
        <v>1710620.2139999999</v>
      </c>
      <c r="H8" s="239">
        <f>C8*6.25%+C8</f>
        <v>1817533.977375</v>
      </c>
      <c r="I8" s="386">
        <f t="shared" si="2"/>
        <v>1931129.8509609376</v>
      </c>
      <c r="K8" s="743"/>
    </row>
    <row r="9" spans="1:11" s="93" customFormat="1" x14ac:dyDescent="0.25">
      <c r="A9" s="343" t="s">
        <v>40</v>
      </c>
      <c r="B9" s="249">
        <f>SUM(B4:B8)</f>
        <v>6640010</v>
      </c>
      <c r="C9" s="246">
        <f>SUM(C4:C8)</f>
        <v>7386746.6674999995</v>
      </c>
      <c r="D9" s="246">
        <f>SUM(D4:D8)</f>
        <v>775882</v>
      </c>
      <c r="E9" s="246">
        <f>SUM(E4:E8)</f>
        <v>6610864.6674999995</v>
      </c>
      <c r="F9" s="246">
        <f t="shared" ref="F9:G9" si="3">SUM(F4:F8)</f>
        <v>0</v>
      </c>
      <c r="G9" s="246">
        <f t="shared" si="3"/>
        <v>7386746.6674999995</v>
      </c>
      <c r="H9" s="246">
        <f>SUM(H4:H8)</f>
        <v>7848418.3342187498</v>
      </c>
      <c r="I9" s="387">
        <f>SUM(I4:I8)</f>
        <v>8338944.4801074211</v>
      </c>
      <c r="K9" s="743"/>
    </row>
    <row r="10" spans="1:11" s="93" customFormat="1" x14ac:dyDescent="0.25">
      <c r="A10" s="135"/>
      <c r="B10" s="248"/>
      <c r="C10" s="158"/>
      <c r="D10" s="239"/>
      <c r="E10" s="239"/>
      <c r="F10" s="239"/>
      <c r="G10" s="239"/>
      <c r="H10" s="239"/>
      <c r="I10" s="386">
        <f>H10*6.9%+H10</f>
        <v>0</v>
      </c>
      <c r="K10" s="743"/>
    </row>
    <row r="11" spans="1:11" s="93" customFormat="1" x14ac:dyDescent="0.25">
      <c r="A11" s="96" t="s">
        <v>6</v>
      </c>
      <c r="B11" s="248">
        <v>371616</v>
      </c>
      <c r="C11" s="158">
        <f t="shared" ref="C11:I14" si="4">B11*6.25%+B11</f>
        <v>394842</v>
      </c>
      <c r="D11" s="239"/>
      <c r="E11" s="239">
        <f t="shared" ref="E11:E14" si="5">C11-D11</f>
        <v>394842</v>
      </c>
      <c r="F11" s="239">
        <v>0</v>
      </c>
      <c r="G11" s="239">
        <f t="shared" ref="G11:G15" si="6">C11+F11</f>
        <v>394842</v>
      </c>
      <c r="H11" s="158">
        <f>C11*6.25%+C11</f>
        <v>419519.625</v>
      </c>
      <c r="I11" s="386">
        <f t="shared" si="4"/>
        <v>445739.6015625</v>
      </c>
      <c r="K11" s="743"/>
    </row>
    <row r="12" spans="1:11" s="93" customFormat="1" x14ac:dyDescent="0.25">
      <c r="A12" s="96" t="s">
        <v>7</v>
      </c>
      <c r="B12" s="248">
        <v>46485</v>
      </c>
      <c r="C12" s="158">
        <f t="shared" si="4"/>
        <v>49390.3125</v>
      </c>
      <c r="D12" s="239"/>
      <c r="E12" s="239">
        <f t="shared" si="5"/>
        <v>49390.3125</v>
      </c>
      <c r="F12" s="239">
        <v>0</v>
      </c>
      <c r="G12" s="239">
        <f t="shared" si="6"/>
        <v>49390.3125</v>
      </c>
      <c r="H12" s="158">
        <f>C12*6.25%+C12</f>
        <v>52477.20703125</v>
      </c>
      <c r="I12" s="386">
        <f t="shared" si="4"/>
        <v>55757.032470703125</v>
      </c>
      <c r="K12" s="743"/>
    </row>
    <row r="13" spans="1:11" s="93" customFormat="1" x14ac:dyDescent="0.25">
      <c r="A13" s="96" t="s">
        <v>53</v>
      </c>
      <c r="B13" s="248">
        <v>830382</v>
      </c>
      <c r="C13" s="158">
        <f t="shared" si="4"/>
        <v>882280.875</v>
      </c>
      <c r="D13" s="239"/>
      <c r="E13" s="239">
        <f t="shared" si="5"/>
        <v>882280.875</v>
      </c>
      <c r="F13" s="239">
        <v>0</v>
      </c>
      <c r="G13" s="239">
        <f t="shared" si="6"/>
        <v>882280.875</v>
      </c>
      <c r="H13" s="158">
        <f>C13*6.25%+C13</f>
        <v>937423.4296875</v>
      </c>
      <c r="I13" s="386">
        <f t="shared" si="4"/>
        <v>996012.39404296875</v>
      </c>
      <c r="K13" s="743"/>
    </row>
    <row r="14" spans="1:11" s="93" customFormat="1" x14ac:dyDescent="0.25">
      <c r="A14" s="96" t="s">
        <v>396</v>
      </c>
      <c r="B14" s="248">
        <v>34800</v>
      </c>
      <c r="C14" s="158">
        <f t="shared" si="4"/>
        <v>36975</v>
      </c>
      <c r="D14" s="239"/>
      <c r="E14" s="239">
        <f t="shared" si="5"/>
        <v>36975</v>
      </c>
      <c r="F14" s="239">
        <v>0</v>
      </c>
      <c r="G14" s="239">
        <f t="shared" si="6"/>
        <v>36975</v>
      </c>
      <c r="H14" s="158">
        <f>C14*6.25%+C14</f>
        <v>39285.9375</v>
      </c>
      <c r="I14" s="386">
        <f t="shared" si="4"/>
        <v>41741.30859375</v>
      </c>
      <c r="K14" s="743"/>
    </row>
    <row r="15" spans="1:11" s="93" customFormat="1" x14ac:dyDescent="0.25">
      <c r="A15" s="785" t="s">
        <v>872</v>
      </c>
      <c r="B15" s="248">
        <v>46485</v>
      </c>
      <c r="C15" s="747"/>
      <c r="D15" s="747"/>
      <c r="E15" s="747"/>
      <c r="F15" s="747">
        <v>810</v>
      </c>
      <c r="G15" s="158">
        <f t="shared" si="6"/>
        <v>810</v>
      </c>
      <c r="H15" s="747">
        <v>0</v>
      </c>
      <c r="I15" s="747">
        <v>0</v>
      </c>
      <c r="K15" s="743"/>
    </row>
    <row r="16" spans="1:11" s="93" customFormat="1" x14ac:dyDescent="0.25">
      <c r="A16" s="343" t="s">
        <v>41</v>
      </c>
      <c r="B16" s="249">
        <f>SUM(B11:B15)</f>
        <v>1329768</v>
      </c>
      <c r="C16" s="246">
        <f>SUM(C11:C15)</f>
        <v>1363488.1875</v>
      </c>
      <c r="D16" s="246">
        <f t="shared" ref="D16:G16" si="7">SUM(D11:D15)</f>
        <v>0</v>
      </c>
      <c r="E16" s="246">
        <f t="shared" si="7"/>
        <v>1363488.1875</v>
      </c>
      <c r="F16" s="246">
        <f t="shared" si="7"/>
        <v>810</v>
      </c>
      <c r="G16" s="246">
        <f t="shared" si="7"/>
        <v>1364298.1875</v>
      </c>
      <c r="H16" s="246">
        <f>SUM(H11:H14)</f>
        <v>1448706.19921875</v>
      </c>
      <c r="I16" s="246">
        <f>SUM(I11:I14)</f>
        <v>1539250.3366699219</v>
      </c>
      <c r="K16" s="743"/>
    </row>
    <row r="17" spans="1:11" s="93" customFormat="1" x14ac:dyDescent="0.25">
      <c r="A17" s="96"/>
      <c r="B17" s="248"/>
      <c r="C17" s="158"/>
      <c r="D17" s="239"/>
      <c r="E17" s="239"/>
      <c r="F17" s="239"/>
      <c r="G17" s="239"/>
      <c r="H17" s="239"/>
      <c r="I17" s="386">
        <f>H17*6.9%+H17</f>
        <v>0</v>
      </c>
      <c r="K17" s="743"/>
    </row>
    <row r="18" spans="1:11" x14ac:dyDescent="0.25">
      <c r="A18" s="96" t="s">
        <v>211</v>
      </c>
      <c r="B18" s="250">
        <v>1974</v>
      </c>
      <c r="C18" s="158">
        <f>B18*6.25%+B18</f>
        <v>2097.375</v>
      </c>
      <c r="D18" s="158"/>
      <c r="E18" s="239">
        <f t="shared" ref="E18" si="8">C18-D18</f>
        <v>2097.375</v>
      </c>
      <c r="F18" s="158"/>
      <c r="G18" s="239">
        <f t="shared" ref="G18" si="9">C18+F18</f>
        <v>2097.375</v>
      </c>
      <c r="H18" s="158">
        <f>C18*6.25%+C18</f>
        <v>2228.4609375</v>
      </c>
      <c r="I18" s="386">
        <f>H18*6.25%+H18</f>
        <v>2367.73974609375</v>
      </c>
    </row>
    <row r="19" spans="1:11" x14ac:dyDescent="0.25">
      <c r="A19" s="343" t="s">
        <v>211</v>
      </c>
      <c r="B19" s="249">
        <f>B18</f>
        <v>1974</v>
      </c>
      <c r="C19" s="246">
        <f>C18</f>
        <v>2097.375</v>
      </c>
      <c r="D19" s="246">
        <f>D18</f>
        <v>0</v>
      </c>
      <c r="E19" s="246">
        <f>E18</f>
        <v>2097.375</v>
      </c>
      <c r="F19" s="246">
        <f t="shared" ref="F19:G19" si="10">F18</f>
        <v>0</v>
      </c>
      <c r="G19" s="246">
        <f t="shared" si="10"/>
        <v>2097.375</v>
      </c>
      <c r="H19" s="351">
        <f>H18</f>
        <v>2228.4609375</v>
      </c>
      <c r="I19" s="387">
        <f>I18</f>
        <v>2367.73974609375</v>
      </c>
    </row>
    <row r="20" spans="1:11" s="93" customFormat="1" x14ac:dyDescent="0.25">
      <c r="A20" s="96"/>
      <c r="B20" s="248"/>
      <c r="C20" s="158"/>
      <c r="D20" s="239"/>
      <c r="E20" s="239"/>
      <c r="F20" s="239"/>
      <c r="G20" s="239"/>
      <c r="H20" s="239"/>
      <c r="I20" s="386">
        <f>H20*6.9%+H20</f>
        <v>0</v>
      </c>
      <c r="K20" s="743"/>
    </row>
    <row r="21" spans="1:11" s="93" customFormat="1" x14ac:dyDescent="0.25">
      <c r="A21" s="96" t="s">
        <v>51</v>
      </c>
      <c r="B21" s="248">
        <v>1000000</v>
      </c>
      <c r="C21" s="158">
        <v>800000</v>
      </c>
      <c r="D21" s="239">
        <v>18087</v>
      </c>
      <c r="E21" s="239">
        <f t="shared" ref="E21:E26" si="11">C21-D21</f>
        <v>781913</v>
      </c>
      <c r="F21" s="239">
        <v>0</v>
      </c>
      <c r="G21" s="239">
        <f t="shared" ref="G21:G26" si="12">C21+F21</f>
        <v>800000</v>
      </c>
      <c r="H21" s="158">
        <f t="shared" ref="H21:H26" si="13">C21*6.25%+C21</f>
        <v>850000</v>
      </c>
      <c r="I21" s="386">
        <f>H21*6.25%+H21</f>
        <v>903125</v>
      </c>
      <c r="K21" s="743"/>
    </row>
    <row r="22" spans="1:11" s="93" customFormat="1" x14ac:dyDescent="0.25">
      <c r="A22" s="96" t="s">
        <v>256</v>
      </c>
      <c r="B22" s="248">
        <v>50000</v>
      </c>
      <c r="C22" s="158">
        <f>B22*4.5%+B22</f>
        <v>52250</v>
      </c>
      <c r="D22" s="239">
        <v>22326</v>
      </c>
      <c r="E22" s="239">
        <f t="shared" si="11"/>
        <v>29924</v>
      </c>
      <c r="F22" s="239">
        <v>0</v>
      </c>
      <c r="G22" s="239">
        <f t="shared" si="12"/>
        <v>52250</v>
      </c>
      <c r="H22" s="158">
        <f t="shared" si="13"/>
        <v>55515.625</v>
      </c>
      <c r="I22" s="386">
        <f t="shared" ref="I22:I26" si="14">H22*6.25%+H22</f>
        <v>58985.3515625</v>
      </c>
      <c r="K22" s="743"/>
    </row>
    <row r="23" spans="1:11" s="93" customFormat="1" x14ac:dyDescent="0.25">
      <c r="A23" s="88" t="s">
        <v>397</v>
      </c>
      <c r="B23" s="248">
        <f>46800+139698</f>
        <v>186498</v>
      </c>
      <c r="C23" s="158">
        <f>B23*4.5%+B23</f>
        <v>194890.41</v>
      </c>
      <c r="D23" s="239"/>
      <c r="E23" s="239">
        <f t="shared" si="11"/>
        <v>194890.41</v>
      </c>
      <c r="F23" s="239">
        <v>0</v>
      </c>
      <c r="G23" s="239">
        <f t="shared" si="12"/>
        <v>194890.41</v>
      </c>
      <c r="H23" s="158">
        <f t="shared" si="13"/>
        <v>207071.06062500001</v>
      </c>
      <c r="I23" s="386">
        <f t="shared" si="14"/>
        <v>220013.00191406251</v>
      </c>
      <c r="K23" s="743"/>
    </row>
    <row r="24" spans="1:11" s="93" customFormat="1" x14ac:dyDescent="0.25">
      <c r="A24" s="88" t="s">
        <v>61</v>
      </c>
      <c r="B24" s="248">
        <v>150000</v>
      </c>
      <c r="C24" s="158">
        <f>B24*4.5%+B24</f>
        <v>156750</v>
      </c>
      <c r="D24" s="239"/>
      <c r="E24" s="239">
        <f t="shared" si="11"/>
        <v>156750</v>
      </c>
      <c r="F24" s="239">
        <v>0</v>
      </c>
      <c r="G24" s="239">
        <f t="shared" si="12"/>
        <v>156750</v>
      </c>
      <c r="H24" s="158">
        <f t="shared" si="13"/>
        <v>166546.875</v>
      </c>
      <c r="I24" s="386">
        <f t="shared" si="14"/>
        <v>176956.0546875</v>
      </c>
      <c r="K24" s="743"/>
    </row>
    <row r="25" spans="1:11" s="93" customFormat="1" x14ac:dyDescent="0.25">
      <c r="A25" s="96" t="s">
        <v>9</v>
      </c>
      <c r="B25" s="248"/>
      <c r="C25" s="158">
        <f>B15*6.25%+B15</f>
        <v>49390.3125</v>
      </c>
      <c r="D25" s="239"/>
      <c r="E25" s="239">
        <f t="shared" si="11"/>
        <v>49390.3125</v>
      </c>
      <c r="F25" s="239">
        <v>150000</v>
      </c>
      <c r="G25" s="239">
        <f t="shared" si="12"/>
        <v>199390.3125</v>
      </c>
      <c r="H25" s="158">
        <f t="shared" si="13"/>
        <v>52477.20703125</v>
      </c>
      <c r="I25" s="386">
        <f>H25*6.25%+H25</f>
        <v>55757.032470703125</v>
      </c>
      <c r="K25" s="743"/>
    </row>
    <row r="26" spans="1:11" s="93" customFormat="1" x14ac:dyDescent="0.25">
      <c r="A26" s="814" t="s">
        <v>428</v>
      </c>
      <c r="B26" s="248">
        <f>13459354-981513+878659</f>
        <v>13356500</v>
      </c>
      <c r="C26" s="158">
        <v>14065037</v>
      </c>
      <c r="D26" s="239">
        <v>3482535</v>
      </c>
      <c r="E26" s="239">
        <f t="shared" si="11"/>
        <v>10582502</v>
      </c>
      <c r="F26" s="813">
        <f>-4465037+3000000</f>
        <v>-1465037</v>
      </c>
      <c r="G26" s="239">
        <f t="shared" si="12"/>
        <v>12600000</v>
      </c>
      <c r="H26" s="158">
        <f t="shared" si="13"/>
        <v>14944101.8125</v>
      </c>
      <c r="I26" s="386">
        <f t="shared" si="14"/>
        <v>15878108.17578125</v>
      </c>
      <c r="K26" s="743"/>
    </row>
    <row r="27" spans="1:11" s="93" customFormat="1" x14ac:dyDescent="0.25">
      <c r="A27" s="343" t="s">
        <v>42</v>
      </c>
      <c r="B27" s="249">
        <f>SUM(B20:B26)</f>
        <v>14742998</v>
      </c>
      <c r="C27" s="246">
        <f>SUM(C20:C26)</f>
        <v>15318317.7225</v>
      </c>
      <c r="D27" s="246">
        <f>SUM(D20:D26)</f>
        <v>3522948</v>
      </c>
      <c r="E27" s="246">
        <f>SUM(E20:E26)</f>
        <v>11795369.7225</v>
      </c>
      <c r="F27" s="246">
        <f t="shared" ref="F27:G27" si="15">SUM(F20:F26)</f>
        <v>-1315037</v>
      </c>
      <c r="G27" s="246">
        <f t="shared" si="15"/>
        <v>14003280.7225</v>
      </c>
      <c r="H27" s="246">
        <f>SUM(H20:H26)</f>
        <v>16275712.58015625</v>
      </c>
      <c r="I27" s="387">
        <f>SUM(I20:I26)</f>
        <v>17292944.616416015</v>
      </c>
      <c r="K27" s="743"/>
    </row>
    <row r="28" spans="1:11" s="93" customFormat="1" x14ac:dyDescent="0.25">
      <c r="A28" s="139"/>
      <c r="B28" s="249"/>
      <c r="C28" s="246"/>
      <c r="D28" s="351"/>
      <c r="E28" s="351"/>
      <c r="F28" s="351"/>
      <c r="G28" s="351"/>
      <c r="H28" s="351"/>
      <c r="I28" s="387"/>
      <c r="K28" s="743"/>
    </row>
    <row r="29" spans="1:11" s="93" customFormat="1" x14ac:dyDescent="0.25">
      <c r="A29" s="139"/>
      <c r="B29" s="249"/>
      <c r="C29" s="246"/>
      <c r="D29" s="351"/>
      <c r="E29" s="351"/>
      <c r="F29" s="351"/>
      <c r="G29" s="351"/>
      <c r="H29" s="351"/>
      <c r="I29" s="387"/>
      <c r="K29" s="743"/>
    </row>
    <row r="30" spans="1:11" s="93" customFormat="1" x14ac:dyDescent="0.25">
      <c r="B30" s="249"/>
      <c r="K30" s="743"/>
    </row>
    <row r="31" spans="1:11" s="167" customFormat="1" ht="21.75" customHeight="1" thickBot="1" x14ac:dyDescent="0.3">
      <c r="A31" s="390" t="s">
        <v>44</v>
      </c>
      <c r="B31" s="417" t="e">
        <f>B9+B16+B19+B27+#REF!</f>
        <v>#REF!</v>
      </c>
      <c r="C31" s="392">
        <f>C9+C16+C19+C27</f>
        <v>24070649.952500001</v>
      </c>
      <c r="D31" s="392">
        <f t="shared" ref="D31:I31" si="16">D9+D16+D19+D27</f>
        <v>4298830</v>
      </c>
      <c r="E31" s="392">
        <f t="shared" si="16"/>
        <v>19771819.952500001</v>
      </c>
      <c r="F31" s="392">
        <f t="shared" si="16"/>
        <v>-1314227</v>
      </c>
      <c r="G31" s="392">
        <f t="shared" si="16"/>
        <v>22756422.952500001</v>
      </c>
      <c r="H31" s="392">
        <f t="shared" si="16"/>
        <v>25575065.57453125</v>
      </c>
      <c r="I31" s="392">
        <f t="shared" si="16"/>
        <v>27173507.17293945</v>
      </c>
      <c r="J31" s="780" t="s">
        <v>865</v>
      </c>
      <c r="K31" s="741">
        <v>4800000</v>
      </c>
    </row>
    <row r="32" spans="1:11" ht="45" x14ac:dyDescent="0.25">
      <c r="A32" s="93"/>
      <c r="B32" s="413">
        <v>454295000</v>
      </c>
      <c r="C32" s="375" t="s">
        <v>374</v>
      </c>
      <c r="D32" s="789">
        <f>REVENUE!E17</f>
        <v>-451056000</v>
      </c>
      <c r="E32" s="375"/>
      <c r="F32" s="375"/>
      <c r="G32" s="375"/>
      <c r="H32" s="243"/>
      <c r="J32" s="734" t="s">
        <v>866</v>
      </c>
      <c r="K32" s="739">
        <v>4000000</v>
      </c>
    </row>
    <row r="33" spans="2:11" ht="45" x14ac:dyDescent="0.25">
      <c r="B33" s="152" t="e">
        <f>B31-B32</f>
        <v>#REF!</v>
      </c>
      <c r="C33" s="788" t="s">
        <v>873</v>
      </c>
      <c r="D33" s="366">
        <f>REVENUE!E21</f>
        <v>-132957550</v>
      </c>
      <c r="J33" s="734" t="s">
        <v>867</v>
      </c>
      <c r="K33" s="739">
        <v>10368630</v>
      </c>
    </row>
    <row r="34" spans="2:11" ht="45" x14ac:dyDescent="0.25">
      <c r="D34" s="366">
        <f>D32+D33</f>
        <v>-584013550</v>
      </c>
      <c r="J34" s="736" t="s">
        <v>868</v>
      </c>
      <c r="K34" s="737">
        <v>5350000</v>
      </c>
    </row>
    <row r="35" spans="2:11" ht="45" x14ac:dyDescent="0.25">
      <c r="C35" s="247" t="s">
        <v>892</v>
      </c>
      <c r="D35" s="247">
        <f>G31+'PMU PROJECTS'!G30</f>
        <v>591769973.09350002</v>
      </c>
      <c r="J35" s="734" t="s">
        <v>869</v>
      </c>
      <c r="K35" s="739">
        <v>8800000</v>
      </c>
    </row>
    <row r="36" spans="2:11" ht="60" x14ac:dyDescent="0.25">
      <c r="C36" s="247" t="s">
        <v>637</v>
      </c>
      <c r="D36" s="247">
        <f>D34+D35</f>
        <v>7756423.0935000181</v>
      </c>
      <c r="J36" s="734" t="s">
        <v>870</v>
      </c>
      <c r="K36" s="739">
        <v>5700000</v>
      </c>
    </row>
    <row r="37" spans="2:11" x14ac:dyDescent="0.25">
      <c r="K37" s="742">
        <v>569013550.14099991</v>
      </c>
    </row>
    <row r="38" spans="2:11" x14ac:dyDescent="0.25">
      <c r="J38" s="738" t="e">
        <f>K37-#REF!</f>
        <v>#REF!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&amp;A&amp;RPage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view="pageBreakPreview" topLeftCell="A10" zoomScale="60" zoomScaleNormal="100" workbookViewId="0">
      <selection activeCell="H10" sqref="H10"/>
    </sheetView>
  </sheetViews>
  <sheetFormatPr defaultColWidth="8.85546875" defaultRowHeight="15" x14ac:dyDescent="0.25"/>
  <cols>
    <col min="1" max="1" width="55.7109375" customWidth="1"/>
    <col min="2" max="2" width="21.28515625" hidden="1" customWidth="1"/>
    <col min="3" max="3" width="23.7109375" customWidth="1"/>
    <col min="4" max="4" width="17.42578125" customWidth="1"/>
    <col min="5" max="5" width="19.42578125" customWidth="1"/>
    <col min="6" max="6" width="15.85546875" customWidth="1"/>
    <col min="7" max="7" width="17.42578125" customWidth="1"/>
    <col min="8" max="8" width="19.42578125" customWidth="1"/>
    <col min="9" max="9" width="23.28515625" customWidth="1"/>
    <col min="10" max="11" width="23.28515625" hidden="1" customWidth="1"/>
    <col min="12" max="12" width="23.28515625" customWidth="1"/>
  </cols>
  <sheetData>
    <row r="1" spans="1:11" x14ac:dyDescent="0.25">
      <c r="A1" s="156" t="s">
        <v>551</v>
      </c>
      <c r="B1" s="150"/>
      <c r="C1" s="243"/>
      <c r="D1" s="243"/>
      <c r="E1" s="243"/>
      <c r="F1" s="243"/>
      <c r="G1" s="243"/>
      <c r="H1" s="243"/>
      <c r="I1" s="754"/>
    </row>
    <row r="2" spans="1:11" ht="15.75" thickBot="1" x14ac:dyDescent="0.3">
      <c r="A2" s="745"/>
      <c r="B2" s="150"/>
      <c r="C2" s="243"/>
      <c r="D2" s="243"/>
      <c r="E2" s="243"/>
      <c r="F2" s="243"/>
      <c r="G2" s="243"/>
      <c r="H2" s="243"/>
      <c r="I2" s="754"/>
    </row>
    <row r="3" spans="1:11" ht="39.75" thickBot="1" x14ac:dyDescent="0.3">
      <c r="A3" s="382" t="s">
        <v>39</v>
      </c>
      <c r="B3" s="414" t="s">
        <v>393</v>
      </c>
      <c r="C3" s="415" t="s">
        <v>442</v>
      </c>
      <c r="D3" s="761" t="s">
        <v>800</v>
      </c>
      <c r="E3" s="779" t="s">
        <v>87</v>
      </c>
      <c r="F3" s="756" t="s">
        <v>164</v>
      </c>
      <c r="G3" s="605" t="s">
        <v>789</v>
      </c>
      <c r="H3" s="416" t="s">
        <v>556</v>
      </c>
      <c r="I3" s="408" t="s">
        <v>644</v>
      </c>
    </row>
    <row r="4" spans="1:11" s="745" customFormat="1" x14ac:dyDescent="0.25">
      <c r="A4" s="835" t="s">
        <v>247</v>
      </c>
      <c r="B4" s="833">
        <v>10721886.640000001</v>
      </c>
      <c r="C4" s="829">
        <v>17904900.66</v>
      </c>
      <c r="D4" s="837"/>
      <c r="E4" s="831">
        <v>17904900.66</v>
      </c>
      <c r="F4" s="831">
        <v>-12404900.66</v>
      </c>
      <c r="G4" s="831">
        <v>5500000</v>
      </c>
      <c r="H4" s="239">
        <v>0</v>
      </c>
      <c r="I4" s="386">
        <f>H4*6.9%+H4</f>
        <v>0</v>
      </c>
      <c r="J4" s="726" t="s">
        <v>247</v>
      </c>
      <c r="K4" s="727">
        <v>5500000</v>
      </c>
    </row>
    <row r="5" spans="1:11" s="745" customFormat="1" x14ac:dyDescent="0.25">
      <c r="A5" s="835" t="s">
        <v>388</v>
      </c>
      <c r="B5" s="833">
        <v>43033060.189999998</v>
      </c>
      <c r="C5" s="829">
        <v>0</v>
      </c>
      <c r="D5" s="837"/>
      <c r="E5" s="831">
        <v>0</v>
      </c>
      <c r="F5" s="831">
        <v>0</v>
      </c>
      <c r="G5" s="831">
        <v>0</v>
      </c>
      <c r="H5" s="239">
        <v>38809034</v>
      </c>
      <c r="I5" s="386"/>
      <c r="J5" s="726" t="s">
        <v>388</v>
      </c>
      <c r="K5" s="727">
        <v>0</v>
      </c>
    </row>
    <row r="6" spans="1:11" s="746" customFormat="1" ht="13.5" customHeight="1" x14ac:dyDescent="0.25">
      <c r="A6" s="836" t="s">
        <v>716</v>
      </c>
      <c r="B6" s="833">
        <v>20407707.760000002</v>
      </c>
      <c r="C6" s="828">
        <v>30071429</v>
      </c>
      <c r="D6" s="840">
        <v>6000389</v>
      </c>
      <c r="E6" s="831">
        <v>24071040</v>
      </c>
      <c r="F6" s="831">
        <v>-17071429</v>
      </c>
      <c r="G6" s="831">
        <v>13000000</v>
      </c>
      <c r="H6" s="374">
        <v>30000000</v>
      </c>
      <c r="I6" s="386">
        <v>42403750</v>
      </c>
      <c r="J6" s="728" t="s">
        <v>716</v>
      </c>
      <c r="K6" s="725">
        <v>13000000</v>
      </c>
    </row>
    <row r="7" spans="1:11" s="745" customFormat="1" ht="31.5" customHeight="1" x14ac:dyDescent="0.25">
      <c r="A7" s="832" t="s">
        <v>420</v>
      </c>
      <c r="B7" s="833">
        <v>43060013.140000001</v>
      </c>
      <c r="C7" s="827">
        <v>0</v>
      </c>
      <c r="D7" s="827">
        <v>9542125</v>
      </c>
      <c r="E7" s="831">
        <v>-9542125</v>
      </c>
      <c r="F7" s="831">
        <v>28850000</v>
      </c>
      <c r="G7" s="831">
        <v>28850000</v>
      </c>
      <c r="H7" s="751"/>
      <c r="I7" s="386">
        <f>H7*6.9%+H7</f>
        <v>0</v>
      </c>
      <c r="J7" s="729" t="s">
        <v>420</v>
      </c>
      <c r="K7" s="727">
        <v>18200000</v>
      </c>
    </row>
    <row r="8" spans="1:11" s="745" customFormat="1" x14ac:dyDescent="0.25">
      <c r="A8" s="835" t="s">
        <v>718</v>
      </c>
      <c r="B8" s="833">
        <v>57217835.229999997</v>
      </c>
      <c r="C8" s="827">
        <v>30600481</v>
      </c>
      <c r="D8" s="830"/>
      <c r="E8" s="831">
        <v>30600481</v>
      </c>
      <c r="F8" s="831">
        <v>-3318190.0050000027</v>
      </c>
      <c r="G8" s="831">
        <v>27282290.994999997</v>
      </c>
      <c r="H8" s="751">
        <v>0</v>
      </c>
      <c r="I8" s="386">
        <v>0</v>
      </c>
      <c r="J8" s="726" t="s">
        <v>596</v>
      </c>
      <c r="K8" s="730">
        <v>6580407.6899999995</v>
      </c>
    </row>
    <row r="9" spans="1:11" s="745" customFormat="1" x14ac:dyDescent="0.25">
      <c r="A9" s="835" t="s">
        <v>717</v>
      </c>
      <c r="B9" s="833"/>
      <c r="C9" s="827">
        <v>13880148.050000001</v>
      </c>
      <c r="D9" s="830"/>
      <c r="E9" s="831">
        <v>13880148.050000001</v>
      </c>
      <c r="F9" s="831">
        <v>10368630</v>
      </c>
      <c r="G9" s="831">
        <v>24248778.050000001</v>
      </c>
      <c r="H9" s="751">
        <v>0</v>
      </c>
      <c r="I9" s="386">
        <v>70000000</v>
      </c>
      <c r="J9" s="731" t="s">
        <v>718</v>
      </c>
      <c r="K9" s="727">
        <v>27282290.994999997</v>
      </c>
    </row>
    <row r="10" spans="1:11" s="745" customFormat="1" x14ac:dyDescent="0.25">
      <c r="A10" s="835" t="s">
        <v>814</v>
      </c>
      <c r="B10" s="833"/>
      <c r="C10" s="827"/>
      <c r="D10" s="830">
        <v>1044041</v>
      </c>
      <c r="E10" s="831">
        <v>-1044041</v>
      </c>
      <c r="F10" s="831">
        <v>9200000</v>
      </c>
      <c r="G10" s="831">
        <v>9200000</v>
      </c>
      <c r="H10" s="751"/>
      <c r="I10" s="386"/>
      <c r="J10" s="731" t="s">
        <v>717</v>
      </c>
      <c r="K10" s="727">
        <v>13880148.050000001</v>
      </c>
    </row>
    <row r="11" spans="1:11" s="745" customFormat="1" ht="29.25" customHeight="1" x14ac:dyDescent="0.25">
      <c r="A11" s="832" t="s">
        <v>713</v>
      </c>
      <c r="B11" s="833">
        <v>15123400.33</v>
      </c>
      <c r="C11" s="829">
        <v>21380952</v>
      </c>
      <c r="D11" s="837">
        <v>12363336</v>
      </c>
      <c r="E11" s="831">
        <v>9017616</v>
      </c>
      <c r="F11" s="831">
        <v>5674572.2204999998</v>
      </c>
      <c r="G11" s="831">
        <v>27055524.2205</v>
      </c>
      <c r="H11" s="751">
        <v>22566646</v>
      </c>
      <c r="I11" s="386">
        <v>0</v>
      </c>
      <c r="J11" s="732" t="s">
        <v>594</v>
      </c>
      <c r="K11" s="727">
        <v>2264012.9</v>
      </c>
    </row>
    <row r="12" spans="1:11" s="745" customFormat="1" ht="27" customHeight="1" x14ac:dyDescent="0.25">
      <c r="A12" s="842" t="s">
        <v>819</v>
      </c>
      <c r="B12" s="833"/>
      <c r="C12" s="829"/>
      <c r="D12" s="837">
        <v>4028707</v>
      </c>
      <c r="E12" s="831">
        <v>-4028707</v>
      </c>
      <c r="F12" s="831">
        <v>4279500</v>
      </c>
      <c r="G12" s="831">
        <v>4279500</v>
      </c>
      <c r="H12" s="751"/>
      <c r="I12" s="386"/>
      <c r="J12" s="732" t="s">
        <v>857</v>
      </c>
      <c r="K12" s="727">
        <v>4380486.1399999997</v>
      </c>
    </row>
    <row r="13" spans="1:11" s="745" customFormat="1" ht="28.5" x14ac:dyDescent="0.25">
      <c r="A13" s="842" t="s">
        <v>815</v>
      </c>
      <c r="B13" s="833"/>
      <c r="C13" s="829"/>
      <c r="D13" s="837">
        <v>3573972</v>
      </c>
      <c r="E13" s="831">
        <v>-3573972</v>
      </c>
      <c r="F13" s="831">
        <v>8800000</v>
      </c>
      <c r="G13" s="831">
        <v>8800000</v>
      </c>
      <c r="H13" s="751"/>
      <c r="I13" s="386"/>
      <c r="J13" s="732" t="s">
        <v>631</v>
      </c>
      <c r="K13" s="727">
        <v>23127269.300000001</v>
      </c>
    </row>
    <row r="14" spans="1:11" s="745" customFormat="1" ht="28.5" x14ac:dyDescent="0.25">
      <c r="A14" s="842" t="s">
        <v>849</v>
      </c>
      <c r="B14" s="833"/>
      <c r="C14" s="829"/>
      <c r="D14" s="837">
        <v>3576922</v>
      </c>
      <c r="E14" s="831">
        <v>-3576922</v>
      </c>
      <c r="F14" s="831">
        <v>5500001</v>
      </c>
      <c r="G14" s="831">
        <v>5500001</v>
      </c>
      <c r="H14" s="751"/>
      <c r="I14" s="386"/>
      <c r="J14" s="732" t="s">
        <v>629</v>
      </c>
      <c r="K14" s="727">
        <v>22191764.859999999</v>
      </c>
    </row>
    <row r="15" spans="1:11" s="745" customFormat="1" ht="28.5" x14ac:dyDescent="0.25">
      <c r="A15" s="841" t="s">
        <v>594</v>
      </c>
      <c r="B15" s="833">
        <v>9106833.5399999991</v>
      </c>
      <c r="C15" s="829">
        <v>21380952</v>
      </c>
      <c r="D15" s="837">
        <v>2367556</v>
      </c>
      <c r="E15" s="831">
        <v>19013396</v>
      </c>
      <c r="F15" s="831">
        <v>-14736452.960000001</v>
      </c>
      <c r="G15" s="831">
        <v>6644499.0399999991</v>
      </c>
      <c r="H15" s="751">
        <v>36225637</v>
      </c>
      <c r="I15" s="386">
        <v>0</v>
      </c>
      <c r="J15" s="732" t="s">
        <v>632</v>
      </c>
      <c r="K15" s="727">
        <v>23001320.699999999</v>
      </c>
    </row>
    <row r="16" spans="1:11" s="745" customFormat="1" ht="28.5" x14ac:dyDescent="0.25">
      <c r="A16" s="841" t="s">
        <v>786</v>
      </c>
      <c r="B16" s="833"/>
      <c r="C16" s="829">
        <v>11000000</v>
      </c>
      <c r="D16" s="837">
        <v>3519059</v>
      </c>
      <c r="E16" s="831">
        <v>7480941</v>
      </c>
      <c r="F16" s="831">
        <v>-3500000</v>
      </c>
      <c r="G16" s="831">
        <v>7500000</v>
      </c>
      <c r="H16" s="751">
        <v>30000000</v>
      </c>
      <c r="I16" s="386">
        <v>60000000</v>
      </c>
      <c r="J16" s="732" t="s">
        <v>630</v>
      </c>
      <c r="K16" s="727">
        <v>24833782.48</v>
      </c>
    </row>
    <row r="17" spans="1:13" s="745" customFormat="1" ht="19.5" customHeight="1" x14ac:dyDescent="0.25">
      <c r="A17" s="835" t="s">
        <v>595</v>
      </c>
      <c r="B17" s="833">
        <v>22500000</v>
      </c>
      <c r="C17" s="837">
        <v>21380952.379999999</v>
      </c>
      <c r="D17" s="837">
        <v>9392819</v>
      </c>
      <c r="E17" s="831">
        <v>11988133.379999999</v>
      </c>
      <c r="F17" s="831">
        <v>-4074446.5349999964</v>
      </c>
      <c r="G17" s="831">
        <v>17306505.845000003</v>
      </c>
      <c r="H17" s="751">
        <v>40000000</v>
      </c>
      <c r="I17" s="386">
        <v>69056250</v>
      </c>
      <c r="J17" s="732" t="s">
        <v>781</v>
      </c>
      <c r="K17" s="727">
        <v>28081508.009999998</v>
      </c>
      <c r="L17" s="749"/>
      <c r="M17" s="749"/>
    </row>
    <row r="18" spans="1:13" s="745" customFormat="1" ht="21.75" customHeight="1" x14ac:dyDescent="0.25">
      <c r="A18" s="835" t="s">
        <v>561</v>
      </c>
      <c r="B18" s="833">
        <v>25781899.800000001</v>
      </c>
      <c r="C18" s="829">
        <v>53452381</v>
      </c>
      <c r="D18" s="837">
        <v>32802207</v>
      </c>
      <c r="E18" s="831">
        <v>20650174</v>
      </c>
      <c r="F18" s="831">
        <v>11326570.463</v>
      </c>
      <c r="G18" s="831">
        <v>64778951.463</v>
      </c>
      <c r="H18" s="751">
        <v>45000000</v>
      </c>
      <c r="I18" s="386">
        <v>50000000</v>
      </c>
      <c r="J18" s="731" t="s">
        <v>595</v>
      </c>
      <c r="K18" s="727">
        <v>13306505.845000003</v>
      </c>
    </row>
    <row r="19" spans="1:13" s="745" customFormat="1" ht="21.75" customHeight="1" x14ac:dyDescent="0.25">
      <c r="A19" s="835" t="s">
        <v>596</v>
      </c>
      <c r="B19" s="833"/>
      <c r="C19" s="829"/>
      <c r="D19" s="837">
        <v>3517782</v>
      </c>
      <c r="E19" s="831">
        <v>-3517782</v>
      </c>
      <c r="F19" s="831">
        <v>9866937.6899999995</v>
      </c>
      <c r="G19" s="831">
        <v>9866937.6899999995</v>
      </c>
      <c r="H19" s="751"/>
      <c r="I19" s="386"/>
      <c r="J19" s="731" t="s">
        <v>561</v>
      </c>
      <c r="K19" s="727">
        <v>59428951.463</v>
      </c>
    </row>
    <row r="20" spans="1:13" s="745" customFormat="1" ht="21.75" customHeight="1" x14ac:dyDescent="0.25">
      <c r="A20" s="835" t="s">
        <v>813</v>
      </c>
      <c r="B20" s="833"/>
      <c r="C20" s="829"/>
      <c r="D20" s="837">
        <v>1956521</v>
      </c>
      <c r="E20" s="831">
        <v>-1956521</v>
      </c>
      <c r="F20" s="831">
        <v>5700000</v>
      </c>
      <c r="G20" s="831">
        <v>5700000</v>
      </c>
      <c r="H20" s="751"/>
      <c r="I20" s="386"/>
      <c r="J20" s="726" t="s">
        <v>562</v>
      </c>
      <c r="K20" s="730">
        <v>68973642.383499995</v>
      </c>
    </row>
    <row r="21" spans="1:13" s="745" customFormat="1" ht="21" customHeight="1" x14ac:dyDescent="0.25">
      <c r="A21" s="835" t="s">
        <v>562</v>
      </c>
      <c r="B21" s="833">
        <v>20000000</v>
      </c>
      <c r="C21" s="829">
        <v>61142857</v>
      </c>
      <c r="D21" s="837">
        <v>26830468</v>
      </c>
      <c r="E21" s="831">
        <v>34312389</v>
      </c>
      <c r="F21" s="831">
        <v>7830785.3834999949</v>
      </c>
      <c r="G21" s="831">
        <v>68973642.383499995</v>
      </c>
      <c r="H21" s="751">
        <v>50000000</v>
      </c>
      <c r="I21" s="386">
        <v>40000000</v>
      </c>
      <c r="J21" s="731" t="s">
        <v>563</v>
      </c>
      <c r="K21" s="727">
        <v>54164952.899000004</v>
      </c>
    </row>
    <row r="22" spans="1:13" s="745" customFormat="1" x14ac:dyDescent="0.25">
      <c r="A22" s="835" t="s">
        <v>563</v>
      </c>
      <c r="B22" s="833">
        <v>12526069.82</v>
      </c>
      <c r="C22" s="829">
        <v>48452381</v>
      </c>
      <c r="D22" s="837">
        <v>18132142</v>
      </c>
      <c r="E22" s="831">
        <v>30320239</v>
      </c>
      <c r="F22" s="831">
        <v>5712571.8990000039</v>
      </c>
      <c r="G22" s="831">
        <v>54164952.899000004</v>
      </c>
      <c r="H22" s="751">
        <v>40000000</v>
      </c>
      <c r="I22" s="386">
        <v>40000000</v>
      </c>
      <c r="J22" s="731" t="s">
        <v>715</v>
      </c>
      <c r="K22" s="727">
        <v>49221320.204999998</v>
      </c>
    </row>
    <row r="23" spans="1:13" s="745" customFormat="1" x14ac:dyDescent="0.25">
      <c r="A23" s="835" t="s">
        <v>715</v>
      </c>
      <c r="B23" s="833"/>
      <c r="C23" s="829">
        <v>41171106</v>
      </c>
      <c r="D23" s="837">
        <v>8826083</v>
      </c>
      <c r="E23" s="831">
        <v>32345023</v>
      </c>
      <c r="F23" s="831">
        <v>13155215.204999998</v>
      </c>
      <c r="G23" s="831">
        <v>54326321.204999998</v>
      </c>
      <c r="H23" s="751">
        <v>47347328</v>
      </c>
      <c r="I23" s="386">
        <v>40000000</v>
      </c>
      <c r="J23" s="733" t="s">
        <v>858</v>
      </c>
      <c r="K23" s="727">
        <v>6100000</v>
      </c>
    </row>
    <row r="24" spans="1:13" s="745" customFormat="1" ht="24.75" customHeight="1" x14ac:dyDescent="0.25">
      <c r="A24" s="841" t="s">
        <v>631</v>
      </c>
      <c r="B24" s="834">
        <v>20318926.719999999</v>
      </c>
      <c r="C24" s="829">
        <v>17104762</v>
      </c>
      <c r="D24" s="837">
        <v>6908233</v>
      </c>
      <c r="E24" s="831">
        <v>10196529</v>
      </c>
      <c r="F24" s="831">
        <v>6022507.3000000007</v>
      </c>
      <c r="G24" s="831">
        <v>23127269.300000001</v>
      </c>
      <c r="H24" s="751">
        <v>21542305</v>
      </c>
      <c r="I24" s="386">
        <v>25000000</v>
      </c>
      <c r="J24" s="736" t="s">
        <v>859</v>
      </c>
      <c r="K24" s="730">
        <v>3286530</v>
      </c>
    </row>
    <row r="25" spans="1:13" s="745" customFormat="1" ht="24.75" customHeight="1" x14ac:dyDescent="0.25">
      <c r="A25" s="841" t="s">
        <v>629</v>
      </c>
      <c r="B25" s="834">
        <v>20318926.719999999</v>
      </c>
      <c r="C25" s="829">
        <v>17104762</v>
      </c>
      <c r="D25" s="837">
        <v>5868094</v>
      </c>
      <c r="E25" s="831">
        <v>11236668</v>
      </c>
      <c r="F25" s="831">
        <v>5087002.8599999994</v>
      </c>
      <c r="G25" s="831">
        <v>22191764.859999999</v>
      </c>
      <c r="H25" s="751">
        <v>24023649</v>
      </c>
      <c r="I25" s="386">
        <v>25000000</v>
      </c>
      <c r="J25" s="735" t="s">
        <v>860</v>
      </c>
      <c r="K25" s="727">
        <v>10650000</v>
      </c>
    </row>
    <row r="26" spans="1:13" s="745" customFormat="1" ht="27.75" customHeight="1" x14ac:dyDescent="0.25">
      <c r="A26" s="841" t="s">
        <v>632</v>
      </c>
      <c r="B26" s="834">
        <v>20318926.719999999</v>
      </c>
      <c r="C26" s="829">
        <v>17104762</v>
      </c>
      <c r="D26" s="837">
        <v>11352846</v>
      </c>
      <c r="E26" s="831">
        <v>5751916</v>
      </c>
      <c r="F26" s="831">
        <v>5896558.6999999993</v>
      </c>
      <c r="G26" s="831">
        <v>23001320.699999999</v>
      </c>
      <c r="H26" s="751">
        <v>20207020</v>
      </c>
      <c r="I26" s="386">
        <v>12000000</v>
      </c>
      <c r="J26" s="734" t="s">
        <v>861</v>
      </c>
      <c r="K26" s="727">
        <v>5500001</v>
      </c>
    </row>
    <row r="27" spans="1:13" s="745" customFormat="1" ht="22.5" customHeight="1" x14ac:dyDescent="0.25">
      <c r="A27" s="841" t="s">
        <v>630</v>
      </c>
      <c r="B27" s="834">
        <v>20318926.719999999</v>
      </c>
      <c r="C27" s="829">
        <v>17104762</v>
      </c>
      <c r="D27" s="837">
        <v>12457595</v>
      </c>
      <c r="E27" s="831">
        <v>4647167</v>
      </c>
      <c r="F27" s="831">
        <v>7729020.4800000004</v>
      </c>
      <c r="G27" s="831">
        <v>24833782.48</v>
      </c>
      <c r="H27" s="751">
        <v>37909259</v>
      </c>
      <c r="I27" s="386">
        <v>25000000</v>
      </c>
      <c r="J27" s="734" t="s">
        <v>862</v>
      </c>
      <c r="K27" s="727">
        <v>4279500</v>
      </c>
    </row>
    <row r="28" spans="1:13" s="745" customFormat="1" ht="27" customHeight="1" x14ac:dyDescent="0.25">
      <c r="A28" s="841" t="s">
        <v>781</v>
      </c>
      <c r="B28" s="834">
        <v>20318926.719999999</v>
      </c>
      <c r="C28" s="829">
        <v>17104762</v>
      </c>
      <c r="D28" s="837">
        <v>8697004</v>
      </c>
      <c r="E28" s="831">
        <v>8407758</v>
      </c>
      <c r="F28" s="831">
        <v>10976746.009999998</v>
      </c>
      <c r="G28" s="831">
        <v>28081508.009999998</v>
      </c>
      <c r="H28" s="751">
        <v>9234122</v>
      </c>
      <c r="I28" s="386">
        <v>25000000</v>
      </c>
      <c r="J28" s="734" t="s">
        <v>863</v>
      </c>
      <c r="K28" s="727">
        <v>9200000</v>
      </c>
    </row>
    <row r="29" spans="1:13" s="745" customFormat="1" ht="33" customHeight="1" x14ac:dyDescent="0.25">
      <c r="A29" s="843" t="s">
        <v>865</v>
      </c>
      <c r="B29" s="834"/>
      <c r="C29" s="829"/>
      <c r="D29" s="837"/>
      <c r="E29" s="831"/>
      <c r="F29" s="831">
        <v>4800000</v>
      </c>
      <c r="G29" s="831">
        <v>4800000</v>
      </c>
      <c r="H29" s="751">
        <v>0</v>
      </c>
      <c r="I29" s="386">
        <v>0</v>
      </c>
      <c r="J29" s="734"/>
      <c r="K29" s="727"/>
    </row>
    <row r="30" spans="1:13" s="746" customFormat="1" ht="30" x14ac:dyDescent="0.25">
      <c r="A30" s="343" t="s">
        <v>45</v>
      </c>
      <c r="B30" s="248">
        <f>SUM(B4:B28)</f>
        <v>381073340.05000019</v>
      </c>
      <c r="C30" s="246">
        <f>SUM(C4:C28)</f>
        <v>457342350.08999997</v>
      </c>
      <c r="D30" s="246">
        <f>SUM(D4:D28)</f>
        <v>192757901</v>
      </c>
      <c r="E30" s="246">
        <f>SUM(E4:E28)</f>
        <v>264584449.08999997</v>
      </c>
      <c r="F30" s="812">
        <f>SUM(F4:F29)</f>
        <v>111671200.051</v>
      </c>
      <c r="G30" s="246">
        <f>SUM(G4:G29)</f>
        <v>569013550.14100003</v>
      </c>
      <c r="H30" s="246">
        <f>SUM(H4:H29)</f>
        <v>492865000</v>
      </c>
      <c r="I30" s="387">
        <f>SUM(I4:I29)</f>
        <v>523460000</v>
      </c>
      <c r="J30" s="734" t="s">
        <v>864</v>
      </c>
      <c r="K30" s="725">
        <v>5105001</v>
      </c>
    </row>
    <row r="32" spans="1:13" x14ac:dyDescent="0.25">
      <c r="B32" s="823"/>
      <c r="D32" s="823"/>
      <c r="E32" s="823"/>
      <c r="F32" s="823"/>
      <c r="K32" s="817">
        <f>SUM(K4:K31)</f>
        <v>501539395.92049992</v>
      </c>
    </row>
    <row r="34" spans="2:6" x14ac:dyDescent="0.25">
      <c r="B34" s="823"/>
      <c r="C34" s="823"/>
      <c r="D34" s="823"/>
      <c r="E34" s="823"/>
      <c r="F34" s="823"/>
    </row>
    <row r="35" spans="2:6" x14ac:dyDescent="0.25">
      <c r="C35" s="823"/>
      <c r="D35" s="823"/>
      <c r="E35" s="823"/>
      <c r="F35" s="823"/>
    </row>
    <row r="36" spans="2:6" x14ac:dyDescent="0.25">
      <c r="B36" s="823"/>
      <c r="D36" s="823"/>
      <c r="E36" s="823"/>
      <c r="F36" s="823"/>
    </row>
    <row r="37" spans="2:6" x14ac:dyDescent="0.25">
      <c r="B37" s="823"/>
      <c r="D37" s="823"/>
      <c r="E37" s="823"/>
      <c r="F37" s="823"/>
    </row>
    <row r="38" spans="2:6" x14ac:dyDescent="0.25">
      <c r="C38" s="823"/>
      <c r="D38" s="823"/>
      <c r="E38" s="823"/>
      <c r="F38" s="823"/>
    </row>
    <row r="39" spans="2:6" x14ac:dyDescent="0.25">
      <c r="B39" s="823"/>
      <c r="C39" s="823"/>
      <c r="D39" s="823"/>
      <c r="E39" s="823"/>
      <c r="F39" s="823"/>
    </row>
    <row r="40" spans="2:6" x14ac:dyDescent="0.25">
      <c r="C40" s="823"/>
      <c r="D40" s="823"/>
      <c r="E40" s="823"/>
      <c r="F40" s="823"/>
    </row>
    <row r="41" spans="2:6" x14ac:dyDescent="0.25">
      <c r="C41" s="823"/>
      <c r="D41" s="823"/>
      <c r="E41" s="823"/>
      <c r="F41" s="823"/>
    </row>
    <row r="42" spans="2:6" x14ac:dyDescent="0.25">
      <c r="C42" s="823"/>
      <c r="D42" s="823"/>
      <c r="E42" s="823"/>
      <c r="F42" s="823"/>
    </row>
    <row r="43" spans="2:6" x14ac:dyDescent="0.25">
      <c r="B43" s="823"/>
      <c r="C43" s="823"/>
      <c r="D43" s="823"/>
      <c r="E43" s="823"/>
      <c r="F43" s="823"/>
    </row>
    <row r="44" spans="2:6" x14ac:dyDescent="0.25">
      <c r="B44" s="823"/>
      <c r="C44" s="823"/>
      <c r="D44" s="823"/>
      <c r="E44" s="823"/>
      <c r="F44" s="823"/>
    </row>
    <row r="45" spans="2:6" x14ac:dyDescent="0.25">
      <c r="B45" s="823"/>
      <c r="C45" s="823"/>
      <c r="D45" s="823"/>
      <c r="E45" s="823"/>
      <c r="F45" s="823"/>
    </row>
    <row r="46" spans="2:6" x14ac:dyDescent="0.25">
      <c r="B46" s="823"/>
      <c r="C46" s="823"/>
      <c r="D46" s="823"/>
      <c r="E46" s="823"/>
      <c r="F46" s="823"/>
    </row>
    <row r="47" spans="2:6" x14ac:dyDescent="0.25">
      <c r="C47" s="823"/>
      <c r="D47" s="823"/>
      <c r="E47" s="823"/>
      <c r="F47" s="823"/>
    </row>
    <row r="48" spans="2:6" x14ac:dyDescent="0.25">
      <c r="C48" s="823"/>
      <c r="D48" s="823"/>
      <c r="E48" s="823"/>
      <c r="F48" s="823"/>
    </row>
    <row r="49" spans="2:6" x14ac:dyDescent="0.25">
      <c r="B49" s="823"/>
      <c r="C49" s="823"/>
      <c r="D49" s="823"/>
      <c r="E49" s="823"/>
      <c r="F49" s="823"/>
    </row>
    <row r="50" spans="2:6" x14ac:dyDescent="0.25">
      <c r="B50" s="823"/>
      <c r="C50" s="823"/>
      <c r="D50" s="823"/>
      <c r="E50" s="823"/>
      <c r="F50" s="823"/>
    </row>
    <row r="51" spans="2:6" x14ac:dyDescent="0.25">
      <c r="B51" s="823"/>
      <c r="C51" s="823"/>
      <c r="D51" s="823"/>
      <c r="E51" s="823"/>
      <c r="F51" s="823"/>
    </row>
    <row r="52" spans="2:6" x14ac:dyDescent="0.25">
      <c r="B52" s="823"/>
      <c r="C52" s="823"/>
      <c r="D52" s="823"/>
      <c r="E52" s="823"/>
      <c r="F52" s="823"/>
    </row>
    <row r="53" spans="2:6" x14ac:dyDescent="0.25">
      <c r="B53" s="823"/>
      <c r="C53" s="823"/>
      <c r="D53" s="823"/>
      <c r="E53" s="823"/>
      <c r="F53" s="823"/>
    </row>
    <row r="54" spans="2:6" x14ac:dyDescent="0.25">
      <c r="B54" s="823"/>
      <c r="C54" s="823"/>
      <c r="D54" s="823"/>
      <c r="E54" s="823"/>
      <c r="F54" s="823"/>
    </row>
    <row r="55" spans="2:6" x14ac:dyDescent="0.25">
      <c r="B55" s="823"/>
      <c r="C55" s="823"/>
      <c r="D55" s="823"/>
      <c r="E55" s="823"/>
      <c r="F55" s="823"/>
    </row>
    <row r="56" spans="2:6" x14ac:dyDescent="0.25">
      <c r="B56" s="823"/>
      <c r="C56" s="823"/>
      <c r="D56" s="823"/>
      <c r="E56" s="823"/>
      <c r="F56" s="823"/>
    </row>
    <row r="57" spans="2:6" x14ac:dyDescent="0.25">
      <c r="E57" s="823"/>
      <c r="F57" s="823"/>
    </row>
    <row r="58" spans="2:6" x14ac:dyDescent="0.25">
      <c r="B58" s="823"/>
      <c r="C58" s="823"/>
      <c r="D58" s="823"/>
      <c r="E58" s="823"/>
      <c r="F58" s="823"/>
    </row>
  </sheetData>
  <pageMargins left="0.7" right="0.7" top="0.75" bottom="0.75" header="0.3" footer="0.3"/>
  <pageSetup paperSize="9" scale="58" fitToHeight="0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H13"/>
  <sheetViews>
    <sheetView view="pageBreakPreview" zoomScale="60" zoomScaleNormal="100" workbookViewId="0">
      <selection activeCell="F16" sqref="F16"/>
    </sheetView>
  </sheetViews>
  <sheetFormatPr defaultColWidth="9.28515625" defaultRowHeight="15" x14ac:dyDescent="0.25"/>
  <cols>
    <col min="1" max="1" width="34.42578125" style="97" customWidth="1"/>
    <col min="2" max="3" width="17.42578125" style="152" customWidth="1"/>
    <col min="4" max="4" width="17.7109375" style="152" customWidth="1"/>
    <col min="5" max="5" width="16.28515625" style="217" customWidth="1"/>
    <col min="6" max="6" width="15.42578125" style="217" customWidth="1"/>
    <col min="7" max="8" width="18.42578125" style="97" bestFit="1" customWidth="1"/>
    <col min="9" max="16384" width="9.28515625" style="97"/>
  </cols>
  <sheetData>
    <row r="1" spans="1:8" s="93" customFormat="1" x14ac:dyDescent="0.25">
      <c r="B1" s="151"/>
      <c r="C1" s="151"/>
      <c r="D1" s="151"/>
      <c r="E1" s="365"/>
      <c r="F1" s="365"/>
    </row>
    <row r="2" spans="1:8" s="93" customFormat="1" ht="18.75" x14ac:dyDescent="0.3">
      <c r="A2" s="853" t="s">
        <v>375</v>
      </c>
      <c r="B2" s="151"/>
      <c r="C2" s="151"/>
      <c r="D2" s="151"/>
      <c r="E2" s="365"/>
      <c r="F2" s="365"/>
    </row>
    <row r="3" spans="1:8" s="93" customFormat="1" ht="15.75" thickBot="1" x14ac:dyDescent="0.3">
      <c r="B3" s="151"/>
      <c r="C3" s="151"/>
      <c r="D3" s="151"/>
      <c r="E3" s="365"/>
      <c r="F3" s="365"/>
    </row>
    <row r="4" spans="1:8" s="93" customFormat="1" ht="38.25" customHeight="1" thickBot="1" x14ac:dyDescent="0.3">
      <c r="A4" s="155" t="s">
        <v>39</v>
      </c>
      <c r="B4" s="860" t="s">
        <v>442</v>
      </c>
      <c r="C4" s="862" t="s">
        <v>800</v>
      </c>
      <c r="D4" s="863" t="s">
        <v>87</v>
      </c>
      <c r="E4" s="558" t="s">
        <v>164</v>
      </c>
      <c r="F4" s="820" t="s">
        <v>789</v>
      </c>
      <c r="G4" s="860" t="s">
        <v>556</v>
      </c>
      <c r="H4" s="861" t="s">
        <v>644</v>
      </c>
    </row>
    <row r="5" spans="1:8" s="93" customFormat="1" x14ac:dyDescent="0.25">
      <c r="A5" s="96" t="s">
        <v>28</v>
      </c>
      <c r="B5" s="91"/>
      <c r="C5" s="91">
        <v>0</v>
      </c>
      <c r="D5" s="176">
        <v>0</v>
      </c>
      <c r="E5" s="203">
        <v>500000</v>
      </c>
      <c r="F5" s="203">
        <f>B5+E5</f>
        <v>500000</v>
      </c>
      <c r="G5" s="96"/>
      <c r="H5" s="96"/>
    </row>
    <row r="6" spans="1:8" s="851" customFormat="1" x14ac:dyDescent="0.25">
      <c r="A6" s="858" t="s">
        <v>910</v>
      </c>
      <c r="B6" s="91"/>
      <c r="C6" s="91"/>
      <c r="D6" s="176"/>
      <c r="E6" s="203">
        <v>3500000</v>
      </c>
      <c r="F6" s="203">
        <f>B6+E6</f>
        <v>3500000</v>
      </c>
      <c r="G6" s="852"/>
      <c r="H6" s="852"/>
    </row>
    <row r="7" spans="1:8" s="93" customFormat="1" x14ac:dyDescent="0.25">
      <c r="A7" s="854" t="s">
        <v>81</v>
      </c>
      <c r="B7" s="89">
        <f>SUM(B5:B6)</f>
        <v>0</v>
      </c>
      <c r="C7" s="89">
        <f t="shared" ref="C7:H7" si="0">SUM(C5:C6)</f>
        <v>0</v>
      </c>
      <c r="D7" s="89">
        <f t="shared" si="0"/>
        <v>0</v>
      </c>
      <c r="E7" s="89">
        <f t="shared" si="0"/>
        <v>4000000</v>
      </c>
      <c r="F7" s="89">
        <f t="shared" si="0"/>
        <v>4000000</v>
      </c>
      <c r="G7" s="89">
        <f>SUM(G5:G6)</f>
        <v>0</v>
      </c>
      <c r="H7" s="89">
        <f t="shared" si="0"/>
        <v>0</v>
      </c>
    </row>
    <row r="8" spans="1:8" s="93" customFormat="1" x14ac:dyDescent="0.25">
      <c r="A8" s="139"/>
      <c r="B8" s="89"/>
      <c r="C8" s="89"/>
      <c r="D8" s="209"/>
      <c r="E8" s="203"/>
      <c r="F8" s="203"/>
      <c r="G8" s="96"/>
      <c r="H8" s="96"/>
    </row>
    <row r="9" spans="1:8" s="93" customFormat="1" x14ac:dyDescent="0.25">
      <c r="A9" s="96" t="s">
        <v>18</v>
      </c>
      <c r="B9" s="91"/>
      <c r="C9" s="91"/>
      <c r="D9" s="176"/>
      <c r="E9" s="203">
        <v>400000</v>
      </c>
      <c r="F9" s="203">
        <f>B9+E9</f>
        <v>400000</v>
      </c>
      <c r="G9" s="96"/>
      <c r="H9" s="96"/>
    </row>
    <row r="10" spans="1:8" s="93" customFormat="1" x14ac:dyDescent="0.25">
      <c r="A10" s="168" t="s">
        <v>377</v>
      </c>
      <c r="B10" s="91"/>
      <c r="C10" s="91"/>
      <c r="D10" s="176"/>
      <c r="E10" s="203">
        <v>480000</v>
      </c>
      <c r="F10" s="203">
        <f>B10+E10</f>
        <v>480000</v>
      </c>
      <c r="G10" s="96"/>
      <c r="H10" s="96"/>
    </row>
    <row r="11" spans="1:8" s="93" customFormat="1" x14ac:dyDescent="0.25">
      <c r="A11" s="856" t="s">
        <v>376</v>
      </c>
      <c r="B11" s="89">
        <f>SUM(B9:B10)</f>
        <v>0</v>
      </c>
      <c r="C11" s="89">
        <f t="shared" ref="C11:H11" si="1">SUM(C9:C10)</f>
        <v>0</v>
      </c>
      <c r="D11" s="89">
        <f t="shared" si="1"/>
        <v>0</v>
      </c>
      <c r="E11" s="89">
        <f t="shared" si="1"/>
        <v>880000</v>
      </c>
      <c r="F11" s="89">
        <f t="shared" si="1"/>
        <v>880000</v>
      </c>
      <c r="G11" s="89">
        <f t="shared" si="1"/>
        <v>0</v>
      </c>
      <c r="H11" s="89">
        <f t="shared" si="1"/>
        <v>0</v>
      </c>
    </row>
    <row r="12" spans="1:8" s="93" customFormat="1" x14ac:dyDescent="0.25">
      <c r="A12" s="161"/>
      <c r="B12" s="89"/>
      <c r="C12" s="89"/>
      <c r="D12" s="209"/>
      <c r="E12" s="203"/>
      <c r="F12" s="203"/>
      <c r="G12" s="96"/>
      <c r="H12" s="96"/>
    </row>
    <row r="13" spans="1:8" s="93" customFormat="1" x14ac:dyDescent="0.25">
      <c r="A13" s="857" t="s">
        <v>44</v>
      </c>
      <c r="B13" s="89">
        <f>B7+B11</f>
        <v>0</v>
      </c>
      <c r="C13" s="89">
        <f>C7+C11</f>
        <v>0</v>
      </c>
      <c r="D13" s="209">
        <f>D7+D11</f>
        <v>0</v>
      </c>
      <c r="E13" s="819">
        <f>E7+E11</f>
        <v>4880000</v>
      </c>
      <c r="F13" s="819">
        <f>F7+F11</f>
        <v>4880000</v>
      </c>
      <c r="G13" s="96"/>
      <c r="H13" s="96"/>
    </row>
  </sheetData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36" zoomScaleNormal="100" workbookViewId="0">
      <selection activeCell="B18" sqref="B18"/>
    </sheetView>
  </sheetViews>
  <sheetFormatPr defaultColWidth="8.85546875" defaultRowHeight="15" x14ac:dyDescent="0.25"/>
  <cols>
    <col min="1" max="1" width="35.7109375" style="133" customWidth="1"/>
    <col min="2" max="2" width="22.42578125" customWidth="1"/>
    <col min="3" max="3" width="18.42578125" customWidth="1"/>
    <col min="4" max="4" width="17.7109375" customWidth="1"/>
    <col min="5" max="5" width="16" bestFit="1" customWidth="1"/>
    <col min="6" max="6" width="16" customWidth="1"/>
    <col min="7" max="7" width="15" style="189" customWidth="1"/>
    <col min="8" max="8" width="22.28515625" hidden="1" customWidth="1"/>
  </cols>
  <sheetData>
    <row r="1" spans="1:8" ht="15.75" thickBot="1" x14ac:dyDescent="0.3">
      <c r="A1"/>
    </row>
    <row r="2" spans="1:8" s="71" customFormat="1" ht="15.75" thickBot="1" x14ac:dyDescent="0.3">
      <c r="A2" s="182" t="s">
        <v>89</v>
      </c>
      <c r="B2" s="188" t="s">
        <v>423</v>
      </c>
      <c r="C2" s="188" t="s">
        <v>422</v>
      </c>
      <c r="D2" s="188" t="s">
        <v>408</v>
      </c>
      <c r="E2" s="188" t="s">
        <v>424</v>
      </c>
      <c r="F2" s="188" t="s">
        <v>426</v>
      </c>
      <c r="G2" s="190" t="s">
        <v>425</v>
      </c>
    </row>
    <row r="3" spans="1:8" x14ac:dyDescent="0.25">
      <c r="A3" s="183"/>
      <c r="B3" s="1"/>
      <c r="C3" s="1"/>
      <c r="D3" s="1"/>
      <c r="E3" s="1"/>
      <c r="F3" s="1"/>
      <c r="G3" s="191"/>
    </row>
    <row r="4" spans="1:8" x14ac:dyDescent="0.25">
      <c r="A4" s="184" t="s">
        <v>90</v>
      </c>
      <c r="B4" s="179">
        <f>SUMMARY!L4-SUMMARY!D4</f>
        <v>19278138.28125</v>
      </c>
      <c r="C4" s="179"/>
      <c r="D4" s="179"/>
      <c r="E4" s="179"/>
      <c r="F4" s="179"/>
      <c r="G4" s="191"/>
    </row>
    <row r="5" spans="1:8" x14ac:dyDescent="0.25">
      <c r="A5" s="185" t="s">
        <v>91</v>
      </c>
      <c r="B5" s="179">
        <f>SUMMARY!L5-SUMMARY!D5</f>
        <v>41067673.0625</v>
      </c>
      <c r="C5" s="179"/>
      <c r="D5" s="179"/>
      <c r="E5" s="179"/>
      <c r="F5" s="179"/>
      <c r="G5" s="191"/>
    </row>
    <row r="6" spans="1:8" x14ac:dyDescent="0.25">
      <c r="A6" s="185" t="s">
        <v>92</v>
      </c>
      <c r="B6" s="179">
        <f>SUMMARY!L6-SUMMARY!D6</f>
        <v>9327422.1875</v>
      </c>
      <c r="C6" s="179"/>
      <c r="D6" s="179"/>
      <c r="E6" s="179"/>
      <c r="F6" s="179"/>
      <c r="G6" s="191"/>
    </row>
    <row r="7" spans="1:8" x14ac:dyDescent="0.25">
      <c r="A7" s="184" t="s">
        <v>401</v>
      </c>
      <c r="B7" s="179">
        <f>H7-G7-SUMMARY!D7</f>
        <v>6137706.9100000001</v>
      </c>
      <c r="C7" s="179"/>
      <c r="D7" s="179"/>
      <c r="E7" s="179"/>
      <c r="F7" s="179"/>
      <c r="G7" s="191">
        <v>2050000</v>
      </c>
      <c r="H7" s="10">
        <v>9719888</v>
      </c>
    </row>
    <row r="8" spans="1:8" x14ac:dyDescent="0.25">
      <c r="A8" s="184" t="s">
        <v>405</v>
      </c>
      <c r="B8" s="179">
        <f>SUMMARY!L8</f>
        <v>6475739.75</v>
      </c>
      <c r="C8" s="179"/>
      <c r="D8" s="179"/>
      <c r="E8" s="179"/>
      <c r="F8" s="179"/>
      <c r="G8" s="191"/>
    </row>
    <row r="9" spans="1:8" x14ac:dyDescent="0.25">
      <c r="A9" s="184" t="s">
        <v>402</v>
      </c>
      <c r="B9" s="179">
        <f>SUMMARY!L9</f>
        <v>13432855.885</v>
      </c>
      <c r="C9" s="179"/>
      <c r="D9" s="179"/>
      <c r="E9" s="179"/>
      <c r="F9" s="179"/>
      <c r="G9" s="191"/>
    </row>
    <row r="10" spans="1:8" x14ac:dyDescent="0.25">
      <c r="A10" s="184" t="s">
        <v>403</v>
      </c>
      <c r="B10" s="179">
        <f>SUMMARY!L10</f>
        <v>24163295.875</v>
      </c>
      <c r="C10" s="179"/>
      <c r="D10" s="179"/>
      <c r="E10" s="179"/>
      <c r="F10" s="179"/>
      <c r="G10" s="191"/>
    </row>
    <row r="11" spans="1:8" x14ac:dyDescent="0.25">
      <c r="A11" s="184" t="s">
        <v>404</v>
      </c>
      <c r="B11" s="179">
        <f>SUMMARY!L11</f>
        <v>7451064.1875</v>
      </c>
      <c r="C11" s="179"/>
      <c r="D11" s="179"/>
      <c r="E11" s="179"/>
      <c r="F11" s="179"/>
      <c r="G11" s="191"/>
    </row>
    <row r="12" spans="1:8" x14ac:dyDescent="0.25">
      <c r="A12" s="184" t="s">
        <v>400</v>
      </c>
      <c r="B12" s="179">
        <f>SUMMARY!L12</f>
        <v>20171245</v>
      </c>
      <c r="C12" s="179"/>
      <c r="D12" s="179"/>
      <c r="E12" s="179"/>
      <c r="F12" s="179"/>
      <c r="G12" s="191"/>
    </row>
    <row r="13" spans="1:8" x14ac:dyDescent="0.25">
      <c r="A13" s="184" t="s">
        <v>93</v>
      </c>
      <c r="B13" s="179">
        <f>SUMMARY!L13-SUMMARY!D13</f>
        <v>2255519.375</v>
      </c>
      <c r="C13" s="179"/>
      <c r="D13" s="179"/>
      <c r="E13" s="179"/>
      <c r="F13" s="179"/>
      <c r="G13" s="191"/>
    </row>
    <row r="14" spans="1:8" x14ac:dyDescent="0.25">
      <c r="A14" s="184" t="s">
        <v>94</v>
      </c>
      <c r="B14" s="179">
        <f>SUMMARY!L16-SUMMARY!D16</f>
        <v>17354488.1875</v>
      </c>
      <c r="C14" s="179"/>
      <c r="D14" s="179"/>
      <c r="E14" s="179"/>
      <c r="F14" s="179"/>
      <c r="G14" s="191"/>
    </row>
    <row r="15" spans="1:8" x14ac:dyDescent="0.25">
      <c r="A15" s="184" t="s">
        <v>95</v>
      </c>
      <c r="B15" s="179">
        <f>SUMMARY!L17</f>
        <v>3240776.75</v>
      </c>
      <c r="C15" s="179"/>
      <c r="D15" s="179"/>
      <c r="E15" s="179"/>
      <c r="F15" s="179"/>
      <c r="G15" s="191"/>
    </row>
    <row r="16" spans="1:8" x14ac:dyDescent="0.25">
      <c r="A16" s="184" t="s">
        <v>96</v>
      </c>
      <c r="B16" s="179">
        <f>SUMMARY!L18-SUMMARY!D18</f>
        <v>6663176.25</v>
      </c>
      <c r="C16" s="179"/>
      <c r="D16" s="179"/>
      <c r="E16" s="179"/>
      <c r="F16" s="179"/>
      <c r="G16" s="191"/>
      <c r="H16" s="10"/>
    </row>
    <row r="17" spans="1:8" x14ac:dyDescent="0.25">
      <c r="A17" s="184" t="s">
        <v>161</v>
      </c>
      <c r="B17" s="179">
        <f>SUMMARY!L19-2300000</f>
        <v>5995875.0175000001</v>
      </c>
      <c r="C17" s="179"/>
      <c r="D17" s="179"/>
      <c r="E17" s="179"/>
      <c r="F17" s="179">
        <v>2300000</v>
      </c>
      <c r="G17" s="191"/>
    </row>
    <row r="18" spans="1:8" x14ac:dyDescent="0.25">
      <c r="A18" s="184" t="s">
        <v>97</v>
      </c>
      <c r="B18" s="179">
        <f>SUMMARY!L20-SUMMARY!D20-SUMMARY!K20-WATER!B37+WATER!B37</f>
        <v>591126076.57500005</v>
      </c>
      <c r="C18" s="179"/>
      <c r="D18" s="179" t="e">
        <f>WATER!#REF!</f>
        <v>#REF!</v>
      </c>
      <c r="E18" s="179"/>
      <c r="F18" s="179"/>
      <c r="G18" s="191"/>
    </row>
    <row r="19" spans="1:8" x14ac:dyDescent="0.25">
      <c r="A19" s="184" t="s">
        <v>98</v>
      </c>
      <c r="B19" s="179">
        <f>H19-E19</f>
        <v>17156506</v>
      </c>
      <c r="C19" s="179"/>
      <c r="D19" s="179"/>
      <c r="E19" s="179">
        <v>15059000</v>
      </c>
      <c r="F19" s="179"/>
      <c r="G19" s="191"/>
      <c r="H19">
        <v>32215506</v>
      </c>
    </row>
    <row r="20" spans="1:8" x14ac:dyDescent="0.25">
      <c r="A20" s="184" t="s">
        <v>99</v>
      </c>
      <c r="B20" s="179">
        <f>SUMMARY!L22</f>
        <v>1798633.125</v>
      </c>
      <c r="C20" s="179"/>
      <c r="D20" s="179"/>
      <c r="E20" s="179"/>
      <c r="F20" s="179"/>
      <c r="G20" s="191"/>
    </row>
    <row r="21" spans="1:8" x14ac:dyDescent="0.25">
      <c r="A21" s="184" t="s">
        <v>100</v>
      </c>
      <c r="B21" s="179">
        <f>SUMMARY!L23-SUMMARY!D23</f>
        <v>6036186</v>
      </c>
      <c r="C21" s="179"/>
      <c r="D21" s="179"/>
      <c r="E21" s="179"/>
      <c r="F21" s="179"/>
      <c r="G21" s="191"/>
    </row>
    <row r="22" spans="1:8" x14ac:dyDescent="0.25">
      <c r="A22" s="184" t="s">
        <v>101</v>
      </c>
      <c r="B22" s="179">
        <f>SUMMARY!L24-SUMMARY!D24</f>
        <v>11729327</v>
      </c>
      <c r="C22" s="179"/>
      <c r="D22" s="179"/>
      <c r="E22" s="179"/>
      <c r="F22" s="179"/>
      <c r="G22" s="191"/>
    </row>
    <row r="23" spans="1:8" x14ac:dyDescent="0.25">
      <c r="A23" s="184" t="s">
        <v>347</v>
      </c>
      <c r="B23" s="179">
        <f>SUMMARY!L25-SUMMARY!D25</f>
        <v>30780196.249999996</v>
      </c>
      <c r="C23" s="179"/>
      <c r="D23" s="179"/>
      <c r="E23" s="179"/>
      <c r="F23" s="179"/>
      <c r="G23" s="191"/>
    </row>
    <row r="24" spans="1:8" x14ac:dyDescent="0.25">
      <c r="A24" s="184" t="s">
        <v>348</v>
      </c>
      <c r="B24" s="179">
        <f>SUMMARY!L26</f>
        <v>11723598.875</v>
      </c>
      <c r="C24" s="179"/>
      <c r="D24" s="179"/>
      <c r="E24" s="179"/>
      <c r="F24" s="179"/>
      <c r="G24" s="191"/>
    </row>
    <row r="25" spans="1:8" x14ac:dyDescent="0.25">
      <c r="A25" s="184" t="s">
        <v>349</v>
      </c>
      <c r="B25" s="179">
        <f>SUMMARY!L27</f>
        <v>17429322.6875</v>
      </c>
      <c r="C25" s="179"/>
      <c r="D25" s="179"/>
      <c r="E25" s="179"/>
      <c r="F25" s="179"/>
      <c r="G25" s="191"/>
    </row>
    <row r="26" spans="1:8" x14ac:dyDescent="0.25">
      <c r="A26" s="184" t="s">
        <v>350</v>
      </c>
      <c r="B26" s="179">
        <f>SUMMARY!L28</f>
        <v>18351615</v>
      </c>
      <c r="C26" s="179"/>
      <c r="D26" s="179"/>
      <c r="E26" s="179"/>
      <c r="F26" s="179"/>
      <c r="G26" s="191"/>
    </row>
    <row r="27" spans="1:8" x14ac:dyDescent="0.25">
      <c r="A27" s="184" t="s">
        <v>351</v>
      </c>
      <c r="B27" s="179">
        <f>SUMMARY!L29</f>
        <v>10159584</v>
      </c>
      <c r="C27" s="179"/>
      <c r="D27" s="179"/>
      <c r="E27" s="179"/>
      <c r="F27" s="179"/>
      <c r="G27" s="191"/>
    </row>
    <row r="28" spans="1:8" x14ac:dyDescent="0.25">
      <c r="A28" s="184" t="s">
        <v>102</v>
      </c>
      <c r="B28" s="179">
        <f>SUMMARY!L30-SUMMARY!D30</f>
        <v>34711443</v>
      </c>
      <c r="C28" s="179"/>
      <c r="D28" s="179"/>
      <c r="E28" s="179"/>
      <c r="F28" s="179"/>
      <c r="G28" s="191"/>
    </row>
    <row r="29" spans="1:8" x14ac:dyDescent="0.25">
      <c r="A29" s="184" t="s">
        <v>103</v>
      </c>
      <c r="B29" s="179">
        <f>SUMMARY!L31-SUMMARY!D31</f>
        <v>2536796.5</v>
      </c>
      <c r="C29" s="179"/>
      <c r="D29" s="179"/>
      <c r="E29" s="179"/>
      <c r="F29" s="179"/>
      <c r="G29" s="191"/>
    </row>
    <row r="30" spans="1:8" x14ac:dyDescent="0.25">
      <c r="A30" s="184" t="s">
        <v>104</v>
      </c>
      <c r="B30" s="179">
        <f>SUMMARY!L32-SUMMARY!D32</f>
        <v>22670751</v>
      </c>
      <c r="C30" s="179"/>
      <c r="D30" s="179"/>
      <c r="E30" s="179"/>
      <c r="F30" s="179"/>
      <c r="G30" s="191"/>
    </row>
    <row r="31" spans="1:8" x14ac:dyDescent="0.25">
      <c r="A31" s="184" t="s">
        <v>105</v>
      </c>
      <c r="B31" s="179">
        <f>SUMMARY!L33-SUMMARY!D33</f>
        <v>33730376.4375</v>
      </c>
      <c r="C31" s="179"/>
      <c r="D31" s="179"/>
      <c r="E31" s="179"/>
      <c r="F31" s="179"/>
      <c r="G31" s="191"/>
    </row>
    <row r="32" spans="1:8" x14ac:dyDescent="0.25">
      <c r="A32" s="184" t="s">
        <v>106</v>
      </c>
      <c r="B32" s="179">
        <f>SUMMARY!L34-SUMMARY!D34</f>
        <v>14499420.8125</v>
      </c>
      <c r="C32" s="179"/>
      <c r="D32" s="179"/>
      <c r="E32" s="179"/>
      <c r="F32" s="179"/>
      <c r="G32" s="191"/>
    </row>
    <row r="33" spans="1:7" x14ac:dyDescent="0.25">
      <c r="A33" s="184" t="s">
        <v>168</v>
      </c>
      <c r="B33" s="179">
        <f>SUMMARY!L35-SUMMARY!D35</f>
        <v>23042099.5</v>
      </c>
      <c r="C33" s="179"/>
      <c r="D33" s="179"/>
      <c r="E33" s="179"/>
      <c r="F33" s="179"/>
      <c r="G33" s="191"/>
    </row>
    <row r="34" spans="1:7" x14ac:dyDescent="0.25">
      <c r="A34" s="184" t="s">
        <v>107</v>
      </c>
      <c r="B34" s="179">
        <f>SUMMARY!L36-SUMMARY!D36</f>
        <v>8633378.4375</v>
      </c>
      <c r="C34" s="179"/>
      <c r="D34" s="179"/>
      <c r="E34" s="179"/>
      <c r="F34" s="179"/>
      <c r="G34" s="191"/>
    </row>
    <row r="35" spans="1:7" x14ac:dyDescent="0.25">
      <c r="A35" s="184" t="s">
        <v>108</v>
      </c>
      <c r="B35" s="179">
        <f>SUMMARY!L37-SUMMARY!D37</f>
        <v>11250308.5</v>
      </c>
      <c r="C35" s="179"/>
      <c r="D35" s="179"/>
      <c r="E35" s="179"/>
      <c r="F35" s="179"/>
      <c r="G35" s="191"/>
    </row>
    <row r="36" spans="1:7" x14ac:dyDescent="0.25">
      <c r="A36" s="184" t="s">
        <v>109</v>
      </c>
      <c r="B36" s="179">
        <f>SUMMARY!L38</f>
        <v>753659.0625</v>
      </c>
      <c r="C36" s="179"/>
      <c r="D36" s="179"/>
      <c r="E36" s="179"/>
      <c r="F36" s="179"/>
      <c r="G36" s="191"/>
    </row>
    <row r="37" spans="1:7" x14ac:dyDescent="0.25">
      <c r="A37" s="184" t="s">
        <v>110</v>
      </c>
      <c r="B37" s="179">
        <f>SUMMARY!L40</f>
        <v>1164077.125</v>
      </c>
      <c r="C37" s="179"/>
      <c r="D37" s="179"/>
      <c r="E37" s="179"/>
      <c r="F37" s="179"/>
      <c r="G37" s="191"/>
    </row>
    <row r="38" spans="1:7" x14ac:dyDescent="0.25">
      <c r="A38" s="184" t="s">
        <v>111</v>
      </c>
      <c r="B38" s="179">
        <f>SUMMARY!L41</f>
        <v>1355077.125</v>
      </c>
      <c r="C38" s="179"/>
      <c r="D38" s="179"/>
      <c r="E38" s="179"/>
      <c r="F38" s="179"/>
      <c r="G38" s="191"/>
    </row>
    <row r="39" spans="1:7" x14ac:dyDescent="0.25">
      <c r="A39" s="184" t="s">
        <v>112</v>
      </c>
      <c r="B39" s="179">
        <f>SUMMARY!L42</f>
        <v>2280745.375</v>
      </c>
      <c r="C39" s="179"/>
      <c r="D39" s="179"/>
      <c r="E39" s="179"/>
      <c r="F39" s="179"/>
      <c r="G39" s="191"/>
    </row>
    <row r="40" spans="1:7" x14ac:dyDescent="0.25">
      <c r="A40" s="185" t="s">
        <v>128</v>
      </c>
      <c r="B40" s="179"/>
      <c r="C40" s="179">
        <f>SUMMARY!L43-PMU!B19</f>
        <v>596647999.09350002</v>
      </c>
      <c r="D40" s="179"/>
      <c r="E40" s="179"/>
      <c r="F40" s="179"/>
      <c r="G40" s="191"/>
    </row>
    <row r="41" spans="1:7" x14ac:dyDescent="0.25">
      <c r="A41" s="185" t="s">
        <v>321</v>
      </c>
      <c r="B41" s="179">
        <f>SUMMARY!L44</f>
        <v>127500</v>
      </c>
      <c r="C41" s="179"/>
      <c r="D41" s="179"/>
      <c r="E41" s="179"/>
      <c r="F41" s="179"/>
      <c r="G41" s="191"/>
    </row>
    <row r="42" spans="1:7" x14ac:dyDescent="0.25">
      <c r="A42" s="185" t="s">
        <v>322</v>
      </c>
      <c r="B42" s="179">
        <f>SUMMARY!L45</f>
        <v>0</v>
      </c>
      <c r="C42" s="179"/>
      <c r="D42" s="179"/>
      <c r="E42" s="179"/>
      <c r="F42" s="179"/>
      <c r="G42" s="191"/>
    </row>
    <row r="43" spans="1:7" x14ac:dyDescent="0.25">
      <c r="A43" s="185" t="s">
        <v>323</v>
      </c>
      <c r="B43" s="179">
        <f>SUMMARY!L46</f>
        <v>0</v>
      </c>
      <c r="C43" s="179"/>
      <c r="D43" s="179"/>
      <c r="E43" s="179"/>
      <c r="F43" s="179"/>
      <c r="G43" s="191"/>
    </row>
    <row r="44" spans="1:7" x14ac:dyDescent="0.25">
      <c r="A44" s="185" t="s">
        <v>324</v>
      </c>
      <c r="B44" s="179">
        <f>SUMMARY!L47</f>
        <v>2550</v>
      </c>
      <c r="C44" s="179"/>
      <c r="D44" s="179"/>
      <c r="E44" s="179"/>
      <c r="F44" s="179"/>
      <c r="G44" s="191"/>
    </row>
    <row r="45" spans="1:7" x14ac:dyDescent="0.25">
      <c r="A45" s="185" t="s">
        <v>325</v>
      </c>
      <c r="B45" s="179">
        <f>SUMMARY!L48</f>
        <v>0</v>
      </c>
      <c r="C45" s="179"/>
      <c r="D45" s="179"/>
      <c r="E45" s="179"/>
      <c r="F45" s="179"/>
      <c r="G45" s="191"/>
    </row>
    <row r="46" spans="1:7" x14ac:dyDescent="0.25">
      <c r="A46" s="185" t="s">
        <v>326</v>
      </c>
      <c r="B46" s="179">
        <f>SUMMARY!L49</f>
        <v>0</v>
      </c>
      <c r="C46" s="179"/>
      <c r="D46" s="179"/>
      <c r="E46" s="179"/>
      <c r="F46" s="179"/>
      <c r="G46" s="191"/>
    </row>
    <row r="47" spans="1:7" x14ac:dyDescent="0.25">
      <c r="A47" s="185" t="s">
        <v>327</v>
      </c>
      <c r="B47" s="179" t="e">
        <f>SUMMARY!#REF!</f>
        <v>#REF!</v>
      </c>
      <c r="C47" s="179"/>
      <c r="D47" s="179"/>
      <c r="E47" s="179"/>
      <c r="F47" s="179"/>
      <c r="G47" s="191"/>
    </row>
    <row r="48" spans="1:7" x14ac:dyDescent="0.25">
      <c r="A48" s="185" t="s">
        <v>328</v>
      </c>
      <c r="B48" s="179">
        <f>SUMMARY!L50</f>
        <v>0</v>
      </c>
      <c r="C48" s="179"/>
      <c r="D48" s="179"/>
      <c r="E48" s="179"/>
      <c r="F48" s="179"/>
      <c r="G48" s="191"/>
    </row>
    <row r="49" spans="1:7" x14ac:dyDescent="0.25">
      <c r="A49" s="185" t="s">
        <v>329</v>
      </c>
      <c r="B49" s="179">
        <f>SUMMARY!L51</f>
        <v>0</v>
      </c>
      <c r="C49" s="179"/>
      <c r="D49" s="179"/>
      <c r="E49" s="179"/>
      <c r="F49" s="179"/>
      <c r="G49" s="191"/>
    </row>
    <row r="50" spans="1:7" x14ac:dyDescent="0.25">
      <c r="A50" s="185" t="s">
        <v>330</v>
      </c>
      <c r="B50" s="179">
        <f>SUMMARY!L52</f>
        <v>0</v>
      </c>
      <c r="C50" s="179"/>
      <c r="D50" s="179"/>
      <c r="E50" s="179"/>
      <c r="F50" s="179"/>
      <c r="G50" s="191"/>
    </row>
    <row r="51" spans="1:7" x14ac:dyDescent="0.25">
      <c r="A51" s="185" t="s">
        <v>331</v>
      </c>
      <c r="B51" s="179">
        <f>SUMMARY!L53</f>
        <v>0</v>
      </c>
      <c r="C51" s="179"/>
      <c r="D51" s="179"/>
      <c r="E51" s="179"/>
      <c r="F51" s="179"/>
      <c r="G51" s="191"/>
    </row>
    <row r="52" spans="1:7" x14ac:dyDescent="0.25">
      <c r="A52" s="185" t="s">
        <v>332</v>
      </c>
      <c r="B52" s="179">
        <f>SUMMARY!L54</f>
        <v>0</v>
      </c>
      <c r="C52" s="179"/>
      <c r="D52" s="179"/>
      <c r="E52" s="179"/>
      <c r="F52" s="179"/>
      <c r="G52" s="191"/>
    </row>
    <row r="53" spans="1:7" x14ac:dyDescent="0.25">
      <c r="A53" s="185" t="s">
        <v>333</v>
      </c>
      <c r="B53" s="179">
        <f>SUMMARY!L55</f>
        <v>0</v>
      </c>
      <c r="C53" s="179"/>
      <c r="D53" s="179"/>
      <c r="E53" s="179"/>
      <c r="F53" s="179"/>
      <c r="G53" s="191"/>
    </row>
    <row r="54" spans="1:7" x14ac:dyDescent="0.25">
      <c r="A54" s="185" t="s">
        <v>334</v>
      </c>
      <c r="B54" s="179">
        <f>'SENWAMOKGOPE SEWAGE WORKS'!B26</f>
        <v>50000</v>
      </c>
      <c r="C54" s="179"/>
      <c r="D54" s="179"/>
      <c r="E54" s="179"/>
      <c r="F54" s="179"/>
      <c r="G54" s="191"/>
    </row>
    <row r="55" spans="1:7" x14ac:dyDescent="0.25">
      <c r="A55" s="185" t="s">
        <v>335</v>
      </c>
      <c r="B55" s="179">
        <f>'NKAMBAKO WATER WORKS'!B26</f>
        <v>0</v>
      </c>
      <c r="C55" s="179"/>
      <c r="D55" s="179"/>
      <c r="E55" s="179"/>
      <c r="F55" s="179"/>
      <c r="G55" s="191"/>
    </row>
    <row r="56" spans="1:7" x14ac:dyDescent="0.25">
      <c r="A56" s="185" t="s">
        <v>336</v>
      </c>
      <c r="B56" s="179">
        <f>'THAPANE WATER WORKS'!B28</f>
        <v>30000</v>
      </c>
      <c r="C56" s="179"/>
      <c r="D56" s="179"/>
      <c r="E56" s="179"/>
      <c r="F56" s="179"/>
      <c r="G56" s="191"/>
    </row>
    <row r="57" spans="1:7" x14ac:dyDescent="0.25">
      <c r="A57" s="185" t="s">
        <v>337</v>
      </c>
      <c r="B57" s="179">
        <f>'THABINA WATER WORKS'!B27</f>
        <v>70000</v>
      </c>
      <c r="C57" s="179"/>
      <c r="D57" s="179"/>
      <c r="E57" s="179"/>
      <c r="F57" s="179"/>
      <c r="G57" s="191"/>
    </row>
    <row r="58" spans="1:7" x14ac:dyDescent="0.25">
      <c r="A58" s="185" t="s">
        <v>338</v>
      </c>
      <c r="B58" s="179">
        <f>'TOURS WATER WORKS'!B27</f>
        <v>120000</v>
      </c>
      <c r="C58" s="179"/>
      <c r="D58" s="179"/>
      <c r="E58" s="179"/>
      <c r="F58" s="179"/>
      <c r="G58" s="191"/>
    </row>
    <row r="59" spans="1:7" x14ac:dyDescent="0.25">
      <c r="A59" s="185" t="s">
        <v>339</v>
      </c>
      <c r="B59" s="179">
        <f>'SEMARELA WATER WORKS'!B25</f>
        <v>50000</v>
      </c>
      <c r="C59" s="179"/>
      <c r="D59" s="179"/>
      <c r="E59" s="179"/>
      <c r="F59" s="179"/>
      <c r="G59" s="191"/>
    </row>
    <row r="60" spans="1:7" x14ac:dyDescent="0.25">
      <c r="A60" s="185" t="s">
        <v>340</v>
      </c>
      <c r="B60" s="179">
        <f>'NKOWANKOWA WATER WORKS'!B27</f>
        <v>30420000</v>
      </c>
      <c r="C60" s="179"/>
      <c r="D60" s="179"/>
      <c r="E60" s="179"/>
      <c r="F60" s="179"/>
      <c r="G60" s="191"/>
    </row>
    <row r="61" spans="1:7" x14ac:dyDescent="0.25">
      <c r="A61" s="185" t="s">
        <v>354</v>
      </c>
      <c r="B61" s="179">
        <f>'LENYENYE PONDS'!B26</f>
        <v>50000</v>
      </c>
      <c r="C61" s="179"/>
      <c r="D61" s="179"/>
      <c r="E61" s="179"/>
      <c r="F61" s="179"/>
      <c r="G61" s="191"/>
    </row>
    <row r="62" spans="1:7" x14ac:dyDescent="0.25">
      <c r="A62" s="185" t="s">
        <v>355</v>
      </c>
      <c r="B62" s="179">
        <f>'NKOWANKOWA SEWAGE WORKS'!B25</f>
        <v>50000</v>
      </c>
      <c r="C62" s="179"/>
      <c r="D62" s="179"/>
      <c r="E62" s="179"/>
      <c r="F62" s="179"/>
      <c r="G62" s="191"/>
    </row>
    <row r="63" spans="1:7" x14ac:dyDescent="0.25">
      <c r="A63" s="185" t="s">
        <v>341</v>
      </c>
      <c r="B63" s="179">
        <f>'THE OAKS WATER WORKS'!B28</f>
        <v>120000</v>
      </c>
      <c r="C63" s="179"/>
      <c r="D63" s="179"/>
      <c r="E63" s="179"/>
      <c r="F63" s="179"/>
      <c r="G63" s="191"/>
    </row>
    <row r="64" spans="1:7" x14ac:dyDescent="0.25">
      <c r="A64" s="185" t="s">
        <v>342</v>
      </c>
      <c r="B64" s="179">
        <f>'FINALE WATER WORKS'!B25</f>
        <v>50000</v>
      </c>
      <c r="C64" s="179"/>
      <c r="D64" s="179"/>
      <c r="E64" s="179"/>
      <c r="F64" s="179"/>
      <c r="G64" s="191"/>
    </row>
    <row r="65" spans="1:7" ht="11.25" customHeight="1" x14ac:dyDescent="0.25">
      <c r="A65" s="185" t="s">
        <v>343</v>
      </c>
      <c r="B65" s="179">
        <f>'MAMETJA SEKORORO SCHEME'!B28</f>
        <v>160000</v>
      </c>
      <c r="C65" s="179"/>
      <c r="D65" s="179"/>
      <c r="E65" s="179"/>
      <c r="F65" s="179"/>
      <c r="G65" s="191"/>
    </row>
    <row r="66" spans="1:7" ht="2.25" hidden="1" customHeight="1" x14ac:dyDescent="0.25">
      <c r="A66" s="185" t="s">
        <v>344</v>
      </c>
      <c r="B66" s="179"/>
      <c r="C66" s="179"/>
      <c r="D66" s="179"/>
      <c r="E66" s="179"/>
      <c r="F66" s="179"/>
      <c r="G66" s="191"/>
    </row>
    <row r="67" spans="1:7" x14ac:dyDescent="0.25">
      <c r="A67" s="185" t="s">
        <v>345</v>
      </c>
      <c r="B67" s="179">
        <f>'WATER QUALITY'!B25</f>
        <v>50000</v>
      </c>
      <c r="C67" s="179"/>
      <c r="D67" s="179"/>
      <c r="E67" s="179"/>
      <c r="F67" s="179"/>
      <c r="G67" s="191"/>
    </row>
    <row r="68" spans="1:7" x14ac:dyDescent="0.25">
      <c r="A68" s="186" t="s">
        <v>392</v>
      </c>
      <c r="B68" s="179">
        <f>'WORCESTER SCHEME'!B28</f>
        <v>30000</v>
      </c>
      <c r="C68" s="179"/>
      <c r="D68" s="179"/>
      <c r="E68" s="179"/>
      <c r="F68" s="179"/>
      <c r="G68" s="191"/>
    </row>
    <row r="69" spans="1:7" x14ac:dyDescent="0.25">
      <c r="A69" s="186" t="s">
        <v>391</v>
      </c>
      <c r="B69" s="179">
        <f>'SEKGOSESE SCHEME'!B25</f>
        <v>100000</v>
      </c>
      <c r="C69" s="179"/>
      <c r="D69" s="179"/>
      <c r="E69" s="179"/>
      <c r="F69" s="179"/>
      <c r="G69" s="191"/>
    </row>
    <row r="70" spans="1:7" x14ac:dyDescent="0.25">
      <c r="A70" s="186" t="s">
        <v>389</v>
      </c>
      <c r="B70" s="179">
        <f>'LOWER MOLOTOTSI'!B27</f>
        <v>70000</v>
      </c>
      <c r="C70" s="179"/>
      <c r="D70" s="179"/>
      <c r="E70" s="179"/>
      <c r="F70" s="179"/>
      <c r="G70" s="191"/>
    </row>
    <row r="71" spans="1:7" x14ac:dyDescent="0.25">
      <c r="A71" s="186" t="s">
        <v>390</v>
      </c>
      <c r="B71" s="179">
        <f>SEKGOPO!B26</f>
        <v>100000</v>
      </c>
      <c r="C71" s="179"/>
      <c r="D71" s="179"/>
      <c r="E71" s="179"/>
      <c r="F71" s="179"/>
      <c r="G71" s="191"/>
    </row>
    <row r="72" spans="1:7" hidden="1" x14ac:dyDescent="0.25">
      <c r="A72" s="185" t="s">
        <v>228</v>
      </c>
      <c r="B72" s="179"/>
      <c r="C72" s="179"/>
      <c r="D72" s="179"/>
      <c r="E72" s="179"/>
      <c r="F72" s="179"/>
      <c r="G72" s="191"/>
    </row>
    <row r="73" spans="1:7" hidden="1" x14ac:dyDescent="0.25">
      <c r="A73" s="185" t="s">
        <v>229</v>
      </c>
      <c r="B73" s="179"/>
      <c r="C73" s="179"/>
      <c r="D73" s="179"/>
      <c r="E73" s="179"/>
      <c r="F73" s="179"/>
      <c r="G73" s="191"/>
    </row>
    <row r="74" spans="1:7" hidden="1" x14ac:dyDescent="0.25">
      <c r="A74" s="185" t="s">
        <v>230</v>
      </c>
      <c r="B74" s="179"/>
      <c r="C74" s="179"/>
      <c r="D74" s="179"/>
      <c r="E74" s="179"/>
      <c r="F74" s="179"/>
      <c r="G74" s="191"/>
    </row>
    <row r="75" spans="1:7" hidden="1" x14ac:dyDescent="0.25">
      <c r="A75" s="185" t="s">
        <v>231</v>
      </c>
      <c r="B75" s="179"/>
      <c r="C75" s="179"/>
      <c r="D75" s="179"/>
      <c r="E75" s="179"/>
      <c r="F75" s="179"/>
      <c r="G75" s="191"/>
    </row>
    <row r="76" spans="1:7" hidden="1" x14ac:dyDescent="0.25">
      <c r="A76" s="185" t="s">
        <v>232</v>
      </c>
      <c r="B76" s="179"/>
      <c r="C76" s="179"/>
      <c r="D76" s="179"/>
      <c r="E76" s="179"/>
      <c r="F76" s="179"/>
      <c r="G76" s="191"/>
    </row>
    <row r="77" spans="1:7" hidden="1" x14ac:dyDescent="0.25">
      <c r="A77" s="185" t="s">
        <v>233</v>
      </c>
      <c r="B77" s="179"/>
      <c r="C77" s="179"/>
      <c r="D77" s="179"/>
      <c r="E77" s="179"/>
      <c r="F77" s="179"/>
      <c r="G77" s="191"/>
    </row>
    <row r="78" spans="1:7" hidden="1" x14ac:dyDescent="0.25">
      <c r="A78" s="185" t="s">
        <v>234</v>
      </c>
      <c r="B78" s="179"/>
      <c r="C78" s="179"/>
      <c r="D78" s="179"/>
      <c r="E78" s="179"/>
      <c r="F78" s="179"/>
      <c r="G78" s="191"/>
    </row>
    <row r="79" spans="1:7" hidden="1" x14ac:dyDescent="0.25">
      <c r="A79" s="185" t="s">
        <v>235</v>
      </c>
      <c r="B79" s="179"/>
      <c r="C79" s="179"/>
      <c r="D79" s="179"/>
      <c r="E79" s="179"/>
      <c r="F79" s="179"/>
      <c r="G79" s="191"/>
    </row>
    <row r="80" spans="1:7" hidden="1" x14ac:dyDescent="0.25">
      <c r="A80" s="185" t="s">
        <v>236</v>
      </c>
      <c r="B80" s="179"/>
      <c r="C80" s="179"/>
      <c r="D80" s="179"/>
      <c r="E80" s="179"/>
      <c r="F80" s="179"/>
      <c r="G80" s="191"/>
    </row>
    <row r="81" spans="1:8" x14ac:dyDescent="0.25">
      <c r="A81" s="184"/>
      <c r="B81" s="179"/>
      <c r="C81" s="179"/>
      <c r="D81" s="179"/>
      <c r="E81" s="179"/>
      <c r="F81" s="179"/>
      <c r="G81" s="191"/>
    </row>
    <row r="82" spans="1:8" x14ac:dyDescent="0.25">
      <c r="A82" s="187"/>
      <c r="B82" s="179"/>
      <c r="C82" s="179"/>
      <c r="D82" s="179"/>
      <c r="E82" s="179"/>
      <c r="F82" s="179"/>
      <c r="G82" s="191"/>
    </row>
    <row r="83" spans="1:8" s="71" customFormat="1" x14ac:dyDescent="0.25">
      <c r="A83" s="180" t="s">
        <v>113</v>
      </c>
      <c r="B83" s="192" t="e">
        <f t="shared" ref="B83:G83" si="0">SUM(B4:B82)</f>
        <v>#REF!</v>
      </c>
      <c r="C83" s="193">
        <f t="shared" si="0"/>
        <v>596647999.09350002</v>
      </c>
      <c r="D83" s="193" t="e">
        <f t="shared" si="0"/>
        <v>#REF!</v>
      </c>
      <c r="E83" s="193">
        <f t="shared" si="0"/>
        <v>15059000</v>
      </c>
      <c r="F83" s="193">
        <f t="shared" si="0"/>
        <v>2300000</v>
      </c>
      <c r="G83" s="193">
        <f t="shared" si="0"/>
        <v>2050000</v>
      </c>
      <c r="H83" s="181" t="e">
        <f>SUM(B83:G83)</f>
        <v>#REF!</v>
      </c>
    </row>
    <row r="84" spans="1:8" x14ac:dyDescent="0.25">
      <c r="A84" s="127"/>
    </row>
    <row r="85" spans="1:8" x14ac:dyDescent="0.25">
      <c r="A85" s="194" t="s">
        <v>421</v>
      </c>
      <c r="B85" s="193">
        <f>840762000+84496393+17910905</f>
        <v>943169298</v>
      </c>
      <c r="C85" s="193">
        <v>444492000</v>
      </c>
      <c r="D85" s="193">
        <v>107800000</v>
      </c>
      <c r="E85" s="193">
        <v>15059000</v>
      </c>
      <c r="F85" s="193">
        <v>2300000</v>
      </c>
      <c r="G85" s="193">
        <v>2050000</v>
      </c>
      <c r="H85" s="181">
        <f>SUM(B85:G85)</f>
        <v>1514870298</v>
      </c>
    </row>
    <row r="87" spans="1:8" s="71" customFormat="1" x14ac:dyDescent="0.25">
      <c r="A87" s="195" t="s">
        <v>427</v>
      </c>
      <c r="B87" s="181" t="e">
        <f>B85-B83</f>
        <v>#REF!</v>
      </c>
      <c r="C87" s="181">
        <f t="shared" ref="C87:H87" si="1">C85-C83</f>
        <v>-152155999.09350002</v>
      </c>
      <c r="D87" s="181" t="e">
        <f t="shared" si="1"/>
        <v>#REF!</v>
      </c>
      <c r="E87" s="181">
        <f t="shared" si="1"/>
        <v>0</v>
      </c>
      <c r="F87" s="181">
        <f t="shared" si="1"/>
        <v>0</v>
      </c>
      <c r="G87" s="181">
        <f t="shared" si="1"/>
        <v>0</v>
      </c>
      <c r="H87" s="181" t="e">
        <f t="shared" si="1"/>
        <v>#REF!</v>
      </c>
    </row>
  </sheetData>
  <pageMargins left="0.7" right="0.7" top="0.75" bottom="0.75" header="0.3" footer="0.3"/>
  <pageSetup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I90"/>
  <sheetViews>
    <sheetView showWhiteSpace="0" view="pageBreakPreview" topLeftCell="A38" zoomScale="171" zoomScaleNormal="61" zoomScaleSheetLayoutView="171" workbookViewId="0">
      <pane xSplit="2" topLeftCell="C1" activePane="topRight" state="frozen"/>
      <selection activeCell="A60" sqref="A60"/>
      <selection pane="topRight" activeCell="F67" sqref="F67"/>
    </sheetView>
  </sheetViews>
  <sheetFormatPr defaultColWidth="9.28515625" defaultRowHeight="12.75" x14ac:dyDescent="0.2"/>
  <cols>
    <col min="1" max="1" width="51" style="777" customWidth="1"/>
    <col min="2" max="2" width="17.7109375" style="613" hidden="1" customWidth="1"/>
    <col min="3" max="7" width="16.42578125" style="613" customWidth="1"/>
    <col min="8" max="8" width="15" style="613" customWidth="1"/>
    <col min="9" max="9" width="14" style="613" customWidth="1"/>
    <col min="10" max="16384" width="9.28515625" style="667"/>
  </cols>
  <sheetData>
    <row r="1" spans="1:9" x14ac:dyDescent="0.2">
      <c r="A1" s="762" t="s">
        <v>49</v>
      </c>
      <c r="B1" s="612"/>
      <c r="C1" s="612"/>
      <c r="D1" s="612"/>
      <c r="E1" s="612"/>
      <c r="F1" s="612"/>
      <c r="G1" s="612"/>
      <c r="H1" s="612"/>
    </row>
    <row r="2" spans="1:9" ht="13.5" thickBot="1" x14ac:dyDescent="0.25">
      <c r="A2" s="766"/>
      <c r="B2" s="612"/>
      <c r="C2" s="612"/>
      <c r="D2" s="612"/>
      <c r="E2" s="612"/>
      <c r="F2" s="612"/>
      <c r="G2" s="612"/>
      <c r="H2" s="612"/>
    </row>
    <row r="3" spans="1:9" s="670" customFormat="1" ht="33.75" customHeight="1" thickBot="1" x14ac:dyDescent="0.25">
      <c r="A3" s="767" t="s">
        <v>39</v>
      </c>
      <c r="B3" s="756" t="s">
        <v>393</v>
      </c>
      <c r="C3" s="558" t="s">
        <v>442</v>
      </c>
      <c r="D3" s="761" t="s">
        <v>800</v>
      </c>
      <c r="E3" s="779" t="s">
        <v>87</v>
      </c>
      <c r="F3" s="604" t="s">
        <v>164</v>
      </c>
      <c r="G3" s="604" t="s">
        <v>789</v>
      </c>
      <c r="H3" s="668" t="s">
        <v>556</v>
      </c>
      <c r="I3" s="669" t="s">
        <v>644</v>
      </c>
    </row>
    <row r="4" spans="1:9" s="670" customFormat="1" ht="15" x14ac:dyDescent="0.25">
      <c r="A4" s="768" t="s">
        <v>2</v>
      </c>
      <c r="B4" s="614">
        <v>74976992</v>
      </c>
      <c r="C4" s="614">
        <v>76663054</v>
      </c>
      <c r="D4" s="619">
        <f>4586280+14456+22008+6045609+15188266+4125164+7548155</f>
        <v>37529938</v>
      </c>
      <c r="E4" s="619">
        <f>C4-D4</f>
        <v>39133116</v>
      </c>
      <c r="F4" s="239">
        <v>0</v>
      </c>
      <c r="G4" s="614">
        <f>C4+F4</f>
        <v>76663054</v>
      </c>
      <c r="H4" s="614">
        <f t="shared" ref="H4:H11" si="0">C4*6.25%+C4</f>
        <v>81454494.875</v>
      </c>
      <c r="I4" s="615">
        <f>H4*6.25%+H4</f>
        <v>86545400.8046875</v>
      </c>
    </row>
    <row r="5" spans="1:9" s="670" customFormat="1" ht="15" x14ac:dyDescent="0.25">
      <c r="A5" s="768" t="s">
        <v>3</v>
      </c>
      <c r="B5" s="614">
        <v>6248083</v>
      </c>
      <c r="C5" s="614">
        <f t="shared" ref="C5:I11" si="1">B5*6.25%+B5</f>
        <v>6638588.1875</v>
      </c>
      <c r="D5" s="619">
        <f>443633+925876+2329346+570562+1149449</f>
        <v>5418866</v>
      </c>
      <c r="E5" s="619">
        <f t="shared" ref="E5:E11" si="2">C5-D5</f>
        <v>1219722.1875</v>
      </c>
      <c r="F5" s="239">
        <v>0</v>
      </c>
      <c r="G5" s="614">
        <f t="shared" ref="G5:G11" si="3">C5+F5</f>
        <v>6638588.1875</v>
      </c>
      <c r="H5" s="614">
        <f t="shared" si="0"/>
        <v>7053499.94921875</v>
      </c>
      <c r="I5" s="615">
        <f t="shared" si="1"/>
        <v>7494343.6960449219</v>
      </c>
    </row>
    <row r="6" spans="1:9" s="670" customFormat="1" ht="15" x14ac:dyDescent="0.25">
      <c r="A6" s="768" t="s">
        <v>17</v>
      </c>
      <c r="B6" s="614">
        <v>6915004</v>
      </c>
      <c r="C6" s="614">
        <v>4347192</v>
      </c>
      <c r="D6" s="619">
        <f>547463+2532421+39943+6203897+171053+1323518+20544+2129801+77040</f>
        <v>13045680</v>
      </c>
      <c r="E6" s="619">
        <f t="shared" si="2"/>
        <v>-8698488</v>
      </c>
      <c r="F6" s="724">
        <v>0</v>
      </c>
      <c r="G6" s="614">
        <f t="shared" si="3"/>
        <v>4347192</v>
      </c>
      <c r="H6" s="614">
        <f t="shared" si="0"/>
        <v>4618891.5</v>
      </c>
      <c r="I6" s="615">
        <f t="shared" si="1"/>
        <v>4907572.21875</v>
      </c>
    </row>
    <row r="7" spans="1:9" s="670" customFormat="1" ht="15" x14ac:dyDescent="0.25">
      <c r="A7" s="768" t="s">
        <v>820</v>
      </c>
      <c r="B7" s="614"/>
      <c r="C7" s="614"/>
      <c r="D7" s="619">
        <f>147020+205278+181595+170741</f>
        <v>704634</v>
      </c>
      <c r="E7" s="619">
        <f t="shared" si="2"/>
        <v>-704634</v>
      </c>
      <c r="F7" s="724">
        <v>1400000</v>
      </c>
      <c r="G7" s="614">
        <f t="shared" si="3"/>
        <v>1400000</v>
      </c>
      <c r="H7" s="614"/>
      <c r="I7" s="615"/>
    </row>
    <row r="8" spans="1:9" s="670" customFormat="1" ht="15" x14ac:dyDescent="0.25">
      <c r="A8" s="768" t="s">
        <v>4</v>
      </c>
      <c r="B8" s="614">
        <v>3290348</v>
      </c>
      <c r="C8" s="614">
        <f t="shared" si="1"/>
        <v>3495994.75</v>
      </c>
      <c r="D8" s="619">
        <f>102238+347234+749505+192902+330827</f>
        <v>1722706</v>
      </c>
      <c r="E8" s="619">
        <f t="shared" si="2"/>
        <v>1773288.75</v>
      </c>
      <c r="F8" s="239">
        <v>0</v>
      </c>
      <c r="G8" s="614">
        <f t="shared" si="3"/>
        <v>3495994.75</v>
      </c>
      <c r="H8" s="614">
        <f t="shared" si="0"/>
        <v>3714494.421875</v>
      </c>
      <c r="I8" s="615">
        <f t="shared" si="1"/>
        <v>3946650.3232421875</v>
      </c>
    </row>
    <row r="9" spans="1:9" s="670" customFormat="1" ht="15" x14ac:dyDescent="0.25">
      <c r="A9" s="768" t="s">
        <v>433</v>
      </c>
      <c r="B9" s="614">
        <v>350865</v>
      </c>
      <c r="C9" s="614">
        <f t="shared" si="1"/>
        <v>372794.0625</v>
      </c>
      <c r="D9" s="619"/>
      <c r="E9" s="619">
        <f t="shared" si="2"/>
        <v>372794.0625</v>
      </c>
      <c r="F9" s="239">
        <v>-372794</v>
      </c>
      <c r="G9" s="614">
        <f t="shared" si="3"/>
        <v>6.25E-2</v>
      </c>
      <c r="H9" s="614">
        <f t="shared" si="0"/>
        <v>396093.69140625</v>
      </c>
      <c r="I9" s="615">
        <f t="shared" si="1"/>
        <v>420849.54711914063</v>
      </c>
    </row>
    <row r="10" spans="1:9" s="670" customFormat="1" ht="15" x14ac:dyDescent="0.25">
      <c r="A10" s="768" t="s">
        <v>173</v>
      </c>
      <c r="B10" s="614"/>
      <c r="C10" s="614">
        <v>3672904</v>
      </c>
      <c r="D10" s="619">
        <f>769553+23407+186995+164139+102555+126085</f>
        <v>1372734</v>
      </c>
      <c r="E10" s="619">
        <f t="shared" si="2"/>
        <v>2300170</v>
      </c>
      <c r="F10" s="239">
        <v>0</v>
      </c>
      <c r="G10" s="614">
        <f t="shared" si="3"/>
        <v>3672904</v>
      </c>
      <c r="H10" s="614">
        <f t="shared" si="0"/>
        <v>3902460.5</v>
      </c>
      <c r="I10" s="615">
        <f>H10*6.25%+H10</f>
        <v>4146364.28125</v>
      </c>
    </row>
    <row r="11" spans="1:9" s="670" customFormat="1" ht="15" x14ac:dyDescent="0.25">
      <c r="A11" s="768" t="s">
        <v>5</v>
      </c>
      <c r="B11" s="614">
        <v>2494546</v>
      </c>
      <c r="C11" s="614">
        <f t="shared" si="1"/>
        <v>2650455.125</v>
      </c>
      <c r="D11" s="619">
        <f>127485+14695+104390+84715+296952</f>
        <v>628237</v>
      </c>
      <c r="E11" s="619">
        <f t="shared" si="2"/>
        <v>2022218.125</v>
      </c>
      <c r="F11" s="239">
        <v>-800000</v>
      </c>
      <c r="G11" s="614">
        <f t="shared" si="3"/>
        <v>1850455.125</v>
      </c>
      <c r="H11" s="614">
        <f t="shared" si="0"/>
        <v>2816108.5703125</v>
      </c>
      <c r="I11" s="615">
        <f t="shared" si="1"/>
        <v>2992115.3559570313</v>
      </c>
    </row>
    <row r="12" spans="1:9" s="670" customFormat="1" x14ac:dyDescent="0.2">
      <c r="A12" s="763" t="s">
        <v>40</v>
      </c>
      <c r="B12" s="617">
        <f>SUM(B4:B11)</f>
        <v>94275838</v>
      </c>
      <c r="C12" s="617">
        <f>SUM(C4:C11)</f>
        <v>97840982.125</v>
      </c>
      <c r="D12" s="617">
        <f>SUM(D4:D11)</f>
        <v>60422795</v>
      </c>
      <c r="E12" s="617">
        <f>SUM(E4:E11)</f>
        <v>37418187.125</v>
      </c>
      <c r="F12" s="617">
        <f t="shared" ref="F12:G12" si="4">SUM(F4:F11)</f>
        <v>227206</v>
      </c>
      <c r="G12" s="617">
        <f t="shared" si="4"/>
        <v>98068188.125</v>
      </c>
      <c r="H12" s="617">
        <f>SUM(H4:H11)</f>
        <v>103956043.5078125</v>
      </c>
      <c r="I12" s="618">
        <f>SUM(I4:I11)</f>
        <v>110453296.22705078</v>
      </c>
    </row>
    <row r="13" spans="1:9" s="670" customFormat="1" x14ac:dyDescent="0.2">
      <c r="A13" s="769"/>
      <c r="B13" s="617"/>
      <c r="C13" s="617"/>
      <c r="D13" s="616"/>
      <c r="E13" s="616"/>
      <c r="F13" s="616"/>
      <c r="G13" s="616"/>
      <c r="H13" s="616"/>
      <c r="I13" s="615">
        <f>H13*6.9%+H13</f>
        <v>0</v>
      </c>
    </row>
    <row r="14" spans="1:9" s="670" customFormat="1" ht="15" x14ac:dyDescent="0.25">
      <c r="A14" s="768" t="s">
        <v>6</v>
      </c>
      <c r="B14" s="614">
        <v>4552296</v>
      </c>
      <c r="C14" s="614">
        <v>2836815</v>
      </c>
      <c r="D14" s="619">
        <f>137018+209770+352711+21150+121876+348857</f>
        <v>1191382</v>
      </c>
      <c r="E14" s="619">
        <f t="shared" ref="E14:E18" si="5">C14-D14</f>
        <v>1645433</v>
      </c>
      <c r="F14" s="239">
        <v>-300000</v>
      </c>
      <c r="G14" s="614">
        <f t="shared" ref="G14:G18" si="6">C14+F14</f>
        <v>2536815</v>
      </c>
      <c r="H14" s="614">
        <f>C14*6.25%+C14</f>
        <v>3014115.9375</v>
      </c>
      <c r="I14" s="615">
        <f>H14*6.25%+H14</f>
        <v>3202498.18359375</v>
      </c>
    </row>
    <row r="15" spans="1:9" s="670" customFormat="1" ht="15" x14ac:dyDescent="0.25">
      <c r="A15" s="768" t="s">
        <v>7</v>
      </c>
      <c r="B15" s="614">
        <v>749770</v>
      </c>
      <c r="C15" s="614">
        <f t="shared" ref="C15:I16" si="7">B15*6.25%+B15</f>
        <v>796630.625</v>
      </c>
      <c r="D15" s="619">
        <f>17549+119999+32272+53837</f>
        <v>223657</v>
      </c>
      <c r="E15" s="619">
        <f t="shared" si="5"/>
        <v>572973.625</v>
      </c>
      <c r="F15" s="239">
        <v>-250000</v>
      </c>
      <c r="G15" s="614">
        <f t="shared" si="6"/>
        <v>546630.625</v>
      </c>
      <c r="H15" s="614">
        <f>C15*6.25%+C15</f>
        <v>846420.0390625</v>
      </c>
      <c r="I15" s="615">
        <f t="shared" si="7"/>
        <v>899321.29150390625</v>
      </c>
    </row>
    <row r="16" spans="1:9" s="670" customFormat="1" ht="15" x14ac:dyDescent="0.25">
      <c r="A16" s="768" t="s">
        <v>53</v>
      </c>
      <c r="B16" s="614">
        <v>16494938</v>
      </c>
      <c r="C16" s="614">
        <v>11900000</v>
      </c>
      <c r="D16" s="619">
        <f>488425+959034+2521943+605701+1033576</f>
        <v>5608679</v>
      </c>
      <c r="E16" s="619">
        <f t="shared" si="5"/>
        <v>6291321</v>
      </c>
      <c r="F16" s="239">
        <v>-1200000</v>
      </c>
      <c r="G16" s="614">
        <f t="shared" si="6"/>
        <v>10700000</v>
      </c>
      <c r="H16" s="614">
        <f>C16*6.25%+C16</f>
        <v>12643750</v>
      </c>
      <c r="I16" s="615">
        <f t="shared" si="7"/>
        <v>13433984.375</v>
      </c>
    </row>
    <row r="17" spans="1:9" s="670" customFormat="1" ht="15" x14ac:dyDescent="0.25">
      <c r="A17" s="768" t="s">
        <v>396</v>
      </c>
      <c r="B17" s="614">
        <v>0</v>
      </c>
      <c r="C17" s="614">
        <v>36975</v>
      </c>
      <c r="D17" s="619"/>
      <c r="E17" s="619">
        <f t="shared" si="5"/>
        <v>36975</v>
      </c>
      <c r="F17" s="239">
        <v>-36975</v>
      </c>
      <c r="G17" s="614">
        <f t="shared" si="6"/>
        <v>0</v>
      </c>
      <c r="H17" s="614">
        <v>39285.9375</v>
      </c>
      <c r="I17" s="615">
        <v>41741.30859375</v>
      </c>
    </row>
    <row r="18" spans="1:9" s="670" customFormat="1" ht="15" x14ac:dyDescent="0.25">
      <c r="A18" s="785" t="s">
        <v>872</v>
      </c>
      <c r="B18" s="614"/>
      <c r="C18" s="614"/>
      <c r="D18" s="614">
        <f>3624+7970+2148+3584</f>
        <v>17326</v>
      </c>
      <c r="E18" s="614">
        <f t="shared" si="5"/>
        <v>-17326</v>
      </c>
      <c r="F18" s="158">
        <v>34000</v>
      </c>
      <c r="G18" s="614">
        <f t="shared" si="6"/>
        <v>34000</v>
      </c>
      <c r="H18" s="614"/>
      <c r="I18" s="614"/>
    </row>
    <row r="19" spans="1:9" s="670" customFormat="1" x14ac:dyDescent="0.2">
      <c r="A19" s="770"/>
      <c r="B19" s="717">
        <v>749770</v>
      </c>
      <c r="C19" s="770"/>
      <c r="D19" s="770"/>
      <c r="E19" s="770"/>
      <c r="F19" s="671"/>
      <c r="G19" s="671"/>
      <c r="H19" s="671"/>
      <c r="I19" s="671"/>
    </row>
    <row r="20" spans="1:9" s="670" customFormat="1" x14ac:dyDescent="0.2">
      <c r="A20" s="763" t="s">
        <v>41</v>
      </c>
      <c r="B20" s="617">
        <f>SUM(B14:B19)</f>
        <v>22546774</v>
      </c>
      <c r="C20" s="617">
        <f>SUM(C14:C18)</f>
        <v>15570420.625</v>
      </c>
      <c r="D20" s="617">
        <f>SUM(D14:D18)</f>
        <v>7041044</v>
      </c>
      <c r="E20" s="617">
        <f>SUM(E14:E18)</f>
        <v>8529376.625</v>
      </c>
      <c r="F20" s="617">
        <f>SUM(F14:F18)</f>
        <v>-1752975</v>
      </c>
      <c r="G20" s="617">
        <f t="shared" ref="G20" si="8">SUM(G14:G17)</f>
        <v>13783445.625</v>
      </c>
      <c r="H20" s="617">
        <f>SUM(H14:H17)</f>
        <v>16543571.9140625</v>
      </c>
      <c r="I20" s="617">
        <f>SUM(I14:I17)</f>
        <v>17577545.158691406</v>
      </c>
    </row>
    <row r="21" spans="1:9" s="672" customFormat="1" x14ac:dyDescent="0.2">
      <c r="A21" s="768"/>
      <c r="B21" s="614"/>
      <c r="C21" s="614"/>
      <c r="D21" s="614"/>
      <c r="E21" s="614"/>
      <c r="F21" s="614"/>
      <c r="G21" s="614"/>
      <c r="H21" s="614"/>
      <c r="I21" s="614"/>
    </row>
    <row r="22" spans="1:9" s="674" customFormat="1" x14ac:dyDescent="0.2">
      <c r="A22" s="768" t="s">
        <v>211</v>
      </c>
      <c r="B22" s="673">
        <v>165221595</v>
      </c>
      <c r="C22" s="614">
        <f>B22*4.5%+B22</f>
        <v>172656566.77500001</v>
      </c>
      <c r="D22" s="614"/>
      <c r="E22" s="619">
        <f t="shared" ref="E22" si="9">C22-D22</f>
        <v>172656566.77500001</v>
      </c>
      <c r="F22" s="614"/>
      <c r="G22" s="614">
        <f t="shared" ref="G22" si="10">C22+F22</f>
        <v>172656566.77500001</v>
      </c>
      <c r="H22" s="614">
        <f>C22*6.25%+C22</f>
        <v>183447602.19843751</v>
      </c>
      <c r="I22" s="615">
        <f>H22*6.25%+H22</f>
        <v>194913077.33583987</v>
      </c>
    </row>
    <row r="23" spans="1:9" s="674" customFormat="1" x14ac:dyDescent="0.2">
      <c r="A23" s="763" t="s">
        <v>211</v>
      </c>
      <c r="B23" s="617">
        <f>B22</f>
        <v>165221595</v>
      </c>
      <c r="C23" s="617">
        <f>C22</f>
        <v>172656566.77500001</v>
      </c>
      <c r="D23" s="617">
        <f t="shared" ref="D23:E23" si="11">D22</f>
        <v>0</v>
      </c>
      <c r="E23" s="617">
        <f t="shared" si="11"/>
        <v>172656566.77500001</v>
      </c>
      <c r="F23" s="617">
        <f t="shared" ref="F23:G23" si="12">F22</f>
        <v>0</v>
      </c>
      <c r="G23" s="617">
        <f t="shared" si="12"/>
        <v>172656566.77500001</v>
      </c>
      <c r="H23" s="617">
        <f>H22</f>
        <v>183447602.19843751</v>
      </c>
      <c r="I23" s="618">
        <f>I22</f>
        <v>194913077.33583987</v>
      </c>
    </row>
    <row r="24" spans="1:9" x14ac:dyDescent="0.2">
      <c r="A24" s="769"/>
      <c r="B24" s="617"/>
      <c r="C24" s="617"/>
      <c r="D24" s="616"/>
      <c r="E24" s="616"/>
      <c r="F24" s="616"/>
      <c r="G24" s="616"/>
      <c r="H24" s="616"/>
      <c r="I24" s="615">
        <f>H24*6.9%+H24</f>
        <v>0</v>
      </c>
    </row>
    <row r="25" spans="1:9" s="675" customFormat="1" x14ac:dyDescent="0.2">
      <c r="A25" s="768" t="s">
        <v>619</v>
      </c>
      <c r="B25" s="771">
        <v>20000000</v>
      </c>
      <c r="C25" s="614">
        <v>24000000</v>
      </c>
      <c r="D25" s="619">
        <v>41248747</v>
      </c>
      <c r="E25" s="619">
        <f t="shared" ref="E25:E30" si="13">C25-D25</f>
        <v>-17248747</v>
      </c>
      <c r="F25" s="875">
        <f>17000000+5000000</f>
        <v>22000000</v>
      </c>
      <c r="G25" s="614">
        <f t="shared" ref="G25:G30" si="14">C25+F25</f>
        <v>46000000</v>
      </c>
      <c r="H25" s="619">
        <v>20000000</v>
      </c>
      <c r="I25" s="615">
        <v>30000000</v>
      </c>
    </row>
    <row r="26" spans="1:9" s="671" customFormat="1" x14ac:dyDescent="0.2">
      <c r="A26" s="768" t="s">
        <v>569</v>
      </c>
      <c r="B26" s="614">
        <v>20000000</v>
      </c>
      <c r="C26" s="614">
        <v>30000000</v>
      </c>
      <c r="D26" s="619">
        <f>2490000+1054000+412672+36644193+1791800</f>
        <v>42392665</v>
      </c>
      <c r="E26" s="619">
        <f t="shared" si="13"/>
        <v>-12392665</v>
      </c>
      <c r="F26" s="875">
        <f>12400000+5000000+5000000</f>
        <v>22400000</v>
      </c>
      <c r="G26" s="614">
        <f t="shared" si="14"/>
        <v>52400000</v>
      </c>
      <c r="H26" s="619">
        <v>12000000</v>
      </c>
      <c r="I26" s="615">
        <v>20000000</v>
      </c>
    </row>
    <row r="27" spans="1:9" s="671" customFormat="1" x14ac:dyDescent="0.2">
      <c r="A27" s="773" t="s">
        <v>780</v>
      </c>
      <c r="B27" s="676"/>
      <c r="C27" s="677">
        <v>9000000</v>
      </c>
      <c r="D27" s="678"/>
      <c r="E27" s="619">
        <f t="shared" si="13"/>
        <v>9000000</v>
      </c>
      <c r="F27" s="876">
        <v>-9000000</v>
      </c>
      <c r="G27" s="614">
        <f t="shared" si="14"/>
        <v>0</v>
      </c>
      <c r="H27" s="619">
        <v>15000000</v>
      </c>
      <c r="I27" s="615">
        <v>10000000</v>
      </c>
    </row>
    <row r="28" spans="1:9" s="705" customFormat="1" x14ac:dyDescent="0.2">
      <c r="A28" s="768" t="s">
        <v>271</v>
      </c>
      <c r="B28" s="614">
        <f>16672588.02-6000000</f>
        <v>10672588.02</v>
      </c>
      <c r="C28" s="614">
        <v>20500000</v>
      </c>
      <c r="D28" s="614">
        <f>62931903+4296012</f>
        <v>67227915</v>
      </c>
      <c r="E28" s="619">
        <f t="shared" si="13"/>
        <v>-46727915</v>
      </c>
      <c r="F28" s="877">
        <f>50000000+5000000</f>
        <v>55000000</v>
      </c>
      <c r="G28" s="614">
        <f t="shared" si="14"/>
        <v>75500000</v>
      </c>
      <c r="H28" s="614">
        <f>C28*6.25%+C28</f>
        <v>21781250</v>
      </c>
      <c r="I28" s="615">
        <f>H28*6.25%+H28</f>
        <v>23142578.125</v>
      </c>
    </row>
    <row r="29" spans="1:9" s="705" customFormat="1" x14ac:dyDescent="0.2">
      <c r="A29" s="768" t="s">
        <v>552</v>
      </c>
      <c r="B29" s="614"/>
      <c r="C29" s="614">
        <v>20000000</v>
      </c>
      <c r="D29" s="614">
        <f>8586533.48+2389591+1848621+1845326+1825656+36944+363112+215917+188571+176288+162218+112559+94945+35505+27432+1627+18587+18283+11999+8454+7567+5421+3745+3450+3200+2965+2942+2632+2499+1940+1848621+753664+145813+104271+94507+74565+3734</f>
        <v>21029704.48</v>
      </c>
      <c r="E29" s="619">
        <f t="shared" si="13"/>
        <v>-1029704.4800000004</v>
      </c>
      <c r="F29" s="877">
        <f>5000000+5000000</f>
        <v>10000000</v>
      </c>
      <c r="G29" s="614">
        <f t="shared" si="14"/>
        <v>30000000</v>
      </c>
      <c r="H29" s="614"/>
      <c r="I29" s="615"/>
    </row>
    <row r="30" spans="1:9" s="675" customFormat="1" x14ac:dyDescent="0.2">
      <c r="A30" s="768" t="s">
        <v>20</v>
      </c>
      <c r="B30" s="614">
        <v>650000</v>
      </c>
      <c r="C30" s="614">
        <f>B30*6.25%+B30</f>
        <v>690625</v>
      </c>
      <c r="D30" s="614">
        <v>3900000</v>
      </c>
      <c r="E30" s="619">
        <f t="shared" si="13"/>
        <v>-3209375</v>
      </c>
      <c r="F30" s="877">
        <v>4500000</v>
      </c>
      <c r="G30" s="614">
        <f t="shared" si="14"/>
        <v>5190625</v>
      </c>
      <c r="H30" s="614">
        <f>C30*6.25%+C30</f>
        <v>733789.0625</v>
      </c>
      <c r="I30" s="615">
        <f>H30*6.25%+H30</f>
        <v>779650.87890625</v>
      </c>
    </row>
    <row r="31" spans="1:9" s="670" customFormat="1" x14ac:dyDescent="0.2">
      <c r="A31" s="763" t="s">
        <v>43</v>
      </c>
      <c r="B31" s="617">
        <f>SUM(B28:B30)</f>
        <v>11322588.02</v>
      </c>
      <c r="C31" s="617">
        <f>SUM(C25:C30)</f>
        <v>104190625</v>
      </c>
      <c r="D31" s="617">
        <f>SUM(D25:D30)</f>
        <v>175799031.47999999</v>
      </c>
      <c r="E31" s="617">
        <f>SUM(E25:E30)</f>
        <v>-71608406.480000004</v>
      </c>
      <c r="F31" s="878">
        <f t="shared" ref="F31:G31" si="15">SUM(F25:F30)</f>
        <v>104900000</v>
      </c>
      <c r="G31" s="617">
        <f t="shared" si="15"/>
        <v>209090625</v>
      </c>
      <c r="H31" s="617">
        <f>SUM(H25:H30)</f>
        <v>69515039.0625</v>
      </c>
      <c r="I31" s="618">
        <f>SUM(I25:I30)</f>
        <v>83922229.00390625</v>
      </c>
    </row>
    <row r="32" spans="1:9" s="670" customFormat="1" x14ac:dyDescent="0.2">
      <c r="A32" s="768"/>
      <c r="B32" s="617"/>
      <c r="C32" s="617"/>
      <c r="D32" s="616"/>
      <c r="E32" s="616"/>
      <c r="F32" s="616"/>
      <c r="G32" s="616"/>
      <c r="H32" s="616"/>
      <c r="I32" s="615">
        <f>H32*6.9%+H32</f>
        <v>0</v>
      </c>
    </row>
    <row r="33" spans="1:9" s="670" customFormat="1" x14ac:dyDescent="0.2">
      <c r="A33" s="768"/>
      <c r="B33" s="617"/>
      <c r="C33" s="617"/>
      <c r="D33" s="616"/>
      <c r="E33" s="616"/>
      <c r="F33" s="616"/>
      <c r="G33" s="616"/>
      <c r="H33" s="616"/>
      <c r="I33" s="615"/>
    </row>
    <row r="34" spans="1:9" s="675" customFormat="1" x14ac:dyDescent="0.2">
      <c r="A34" s="768" t="s">
        <v>441</v>
      </c>
      <c r="B34" s="614">
        <v>80000000</v>
      </c>
      <c r="C34" s="614">
        <f>B34*6.25%+B34</f>
        <v>85000000</v>
      </c>
      <c r="D34" s="614">
        <v>61277657</v>
      </c>
      <c r="E34" s="619">
        <f t="shared" ref="E34:E36" si="16">C34-D34</f>
        <v>23722343</v>
      </c>
      <c r="F34" s="614">
        <v>0</v>
      </c>
      <c r="G34" s="614">
        <f t="shared" ref="G34:G36" si="17">C34+F34</f>
        <v>85000000</v>
      </c>
      <c r="H34" s="614">
        <f>C34*6.25%+C34</f>
        <v>90312500</v>
      </c>
      <c r="I34" s="615">
        <f>H34*6.25%+H34</f>
        <v>95957031.25</v>
      </c>
    </row>
    <row r="35" spans="1:9" s="675" customFormat="1" x14ac:dyDescent="0.2">
      <c r="A35" s="768" t="s">
        <v>449</v>
      </c>
      <c r="B35" s="614">
        <v>50000000</v>
      </c>
      <c r="C35" s="614">
        <v>53000000</v>
      </c>
      <c r="D35" s="614">
        <v>29400000</v>
      </c>
      <c r="E35" s="619">
        <f t="shared" si="16"/>
        <v>23600000</v>
      </c>
      <c r="F35" s="614">
        <v>0</v>
      </c>
      <c r="G35" s="614">
        <f t="shared" si="17"/>
        <v>53000000</v>
      </c>
      <c r="H35" s="614">
        <f>C35*6.25%+C35</f>
        <v>56312500</v>
      </c>
      <c r="I35" s="615">
        <f t="shared" ref="C35:I36" si="18">H35*6.25%+H35</f>
        <v>59832031.25</v>
      </c>
    </row>
    <row r="36" spans="1:9" s="675" customFormat="1" x14ac:dyDescent="0.2">
      <c r="A36" s="768" t="s">
        <v>450</v>
      </c>
      <c r="B36" s="614">
        <f>80000000</f>
        <v>80000000</v>
      </c>
      <c r="C36" s="614">
        <f t="shared" si="18"/>
        <v>85000000</v>
      </c>
      <c r="D36" s="614">
        <v>61277657</v>
      </c>
      <c r="E36" s="619">
        <f t="shared" si="16"/>
        <v>23722343</v>
      </c>
      <c r="F36" s="614">
        <v>15000000</v>
      </c>
      <c r="G36" s="614">
        <f t="shared" si="17"/>
        <v>100000000</v>
      </c>
      <c r="H36" s="614">
        <f>C36*6.25%+C36</f>
        <v>90312500</v>
      </c>
      <c r="I36" s="615">
        <f t="shared" si="18"/>
        <v>95957031.25</v>
      </c>
    </row>
    <row r="37" spans="1:9" s="675" customFormat="1" x14ac:dyDescent="0.2">
      <c r="A37" s="763" t="s">
        <v>170</v>
      </c>
      <c r="B37" s="617">
        <f>SUM(B32:B36)</f>
        <v>210000000</v>
      </c>
      <c r="C37" s="617">
        <f>SUM(C32:C36)</f>
        <v>223000000</v>
      </c>
      <c r="D37" s="617">
        <f t="shared" ref="D37:F37" si="19">SUM(D32:D36)</f>
        <v>151955314</v>
      </c>
      <c r="E37" s="617">
        <f t="shared" si="19"/>
        <v>71044686</v>
      </c>
      <c r="F37" s="617">
        <f t="shared" si="19"/>
        <v>15000000</v>
      </c>
      <c r="G37" s="617">
        <f t="shared" ref="G37" si="20">SUM(G32:G36)</f>
        <v>238000000</v>
      </c>
      <c r="H37" s="617">
        <f>SUM(H32:H36)</f>
        <v>236937500</v>
      </c>
      <c r="I37" s="618">
        <f>SUM(I32:I36)</f>
        <v>251746093.75</v>
      </c>
    </row>
    <row r="38" spans="1:9" s="670" customFormat="1" x14ac:dyDescent="0.2">
      <c r="A38" s="768"/>
      <c r="B38" s="617"/>
      <c r="C38" s="617"/>
      <c r="D38" s="616"/>
      <c r="E38" s="616"/>
      <c r="F38" s="616"/>
      <c r="G38" s="616"/>
      <c r="H38" s="616"/>
      <c r="I38" s="615">
        <f>H38*6.9%+H38</f>
        <v>0</v>
      </c>
    </row>
    <row r="39" spans="1:9" s="675" customFormat="1" x14ac:dyDescent="0.2">
      <c r="A39" s="768" t="s">
        <v>457</v>
      </c>
      <c r="B39" s="617">
        <v>7800000</v>
      </c>
      <c r="C39" s="614">
        <v>18287500</v>
      </c>
      <c r="D39" s="614">
        <v>10557241</v>
      </c>
      <c r="E39" s="619">
        <f t="shared" ref="E39" si="21">C39-D39</f>
        <v>7730259</v>
      </c>
      <c r="F39" s="614"/>
      <c r="G39" s="614">
        <f t="shared" ref="G39" si="22">C39+F39</f>
        <v>18287500</v>
      </c>
      <c r="H39" s="614">
        <f>C39*6.25%+C39</f>
        <v>19430468.75</v>
      </c>
      <c r="I39" s="615">
        <f>H39*6.25%+H39</f>
        <v>20644873.046875</v>
      </c>
    </row>
    <row r="40" spans="1:9" s="675" customFormat="1" x14ac:dyDescent="0.2">
      <c r="A40" s="763" t="s">
        <v>431</v>
      </c>
      <c r="B40" s="617">
        <f>SUM(B39)</f>
        <v>7800000</v>
      </c>
      <c r="C40" s="617">
        <f>SUM(C39)</f>
        <v>18287500</v>
      </c>
      <c r="D40" s="617">
        <f t="shared" ref="D40:F40" si="23">SUM(D39)</f>
        <v>10557241</v>
      </c>
      <c r="E40" s="617">
        <f t="shared" si="23"/>
        <v>7730259</v>
      </c>
      <c r="F40" s="617">
        <f t="shared" si="23"/>
        <v>0</v>
      </c>
      <c r="G40" s="617">
        <f t="shared" ref="G40" si="24">SUM(G39)</f>
        <v>18287500</v>
      </c>
      <c r="H40" s="617">
        <f>SUM(H39)</f>
        <v>19430468.75</v>
      </c>
      <c r="I40" s="618">
        <f>SUM(I39)</f>
        <v>20644873.046875</v>
      </c>
    </row>
    <row r="41" spans="1:9" s="675" customFormat="1" x14ac:dyDescent="0.2">
      <c r="A41" s="768"/>
      <c r="B41" s="617"/>
      <c r="C41" s="617"/>
      <c r="D41" s="616"/>
      <c r="E41" s="616"/>
      <c r="F41" s="616"/>
      <c r="G41" s="616"/>
      <c r="H41" s="616"/>
      <c r="I41" s="618"/>
    </row>
    <row r="42" spans="1:9" s="675" customFormat="1" x14ac:dyDescent="0.2">
      <c r="A42" s="768"/>
      <c r="B42" s="617"/>
      <c r="C42" s="617"/>
      <c r="D42" s="616"/>
      <c r="E42" s="616"/>
      <c r="F42" s="616"/>
      <c r="G42" s="616"/>
      <c r="H42" s="616"/>
      <c r="I42" s="618"/>
    </row>
    <row r="43" spans="1:9" s="675" customFormat="1" ht="15" x14ac:dyDescent="0.25">
      <c r="A43" s="768" t="s">
        <v>9</v>
      </c>
      <c r="B43" s="617"/>
      <c r="C43" s="614">
        <f>B19*6.25%+B19</f>
        <v>796630.625</v>
      </c>
      <c r="D43" s="619">
        <f>37425+258603+68993+124306</f>
        <v>489327</v>
      </c>
      <c r="E43" s="619">
        <f t="shared" ref="E43:E59" si="25">C43-D43</f>
        <v>307303.625</v>
      </c>
      <c r="F43" s="239">
        <v>120000</v>
      </c>
      <c r="G43" s="614">
        <f t="shared" ref="G43:G59" si="26">C43+F43</f>
        <v>916630.625</v>
      </c>
      <c r="H43" s="614">
        <f>C43*6.25%+C43</f>
        <v>846420.0390625</v>
      </c>
      <c r="I43" s="615">
        <f>H43*6.25%+H43</f>
        <v>899321.29150390625</v>
      </c>
    </row>
    <row r="44" spans="1:9" s="675" customFormat="1" ht="15" x14ac:dyDescent="0.25">
      <c r="A44" s="768" t="s">
        <v>24</v>
      </c>
      <c r="B44" s="614">
        <v>2650000</v>
      </c>
      <c r="C44" s="614">
        <v>900000</v>
      </c>
      <c r="D44" s="619">
        <f>4948613+946955</f>
        <v>5895568</v>
      </c>
      <c r="E44" s="619">
        <f t="shared" si="25"/>
        <v>-4995568</v>
      </c>
      <c r="F44" s="239">
        <v>6000000</v>
      </c>
      <c r="G44" s="614">
        <f t="shared" si="26"/>
        <v>6900000</v>
      </c>
      <c r="H44" s="614">
        <f>C44*6.25%+C44</f>
        <v>956250</v>
      </c>
      <c r="I44" s="615">
        <f t="shared" ref="C44:I47" si="27">H44*6.25%+H44</f>
        <v>1016015.625</v>
      </c>
    </row>
    <row r="45" spans="1:9" s="675" customFormat="1" ht="15" x14ac:dyDescent="0.25">
      <c r="A45" s="768" t="s">
        <v>63</v>
      </c>
      <c r="B45" s="614">
        <v>85000</v>
      </c>
      <c r="C45" s="614">
        <f t="shared" si="27"/>
        <v>90312.5</v>
      </c>
      <c r="D45" s="619">
        <v>115643</v>
      </c>
      <c r="E45" s="619">
        <f t="shared" si="25"/>
        <v>-25330.5</v>
      </c>
      <c r="F45" s="239">
        <v>30000</v>
      </c>
      <c r="G45" s="614">
        <f t="shared" si="26"/>
        <v>120312.5</v>
      </c>
      <c r="H45" s="614">
        <f>C45*6.25%+C45</f>
        <v>95957.03125</v>
      </c>
      <c r="I45" s="615">
        <f t="shared" si="27"/>
        <v>101954.345703125</v>
      </c>
    </row>
    <row r="46" spans="1:9" s="681" customFormat="1" ht="15" x14ac:dyDescent="0.25">
      <c r="A46" s="768" t="s">
        <v>570</v>
      </c>
      <c r="B46" s="614">
        <f>12000000-2000000</f>
        <v>10000000</v>
      </c>
      <c r="C46" s="614">
        <v>4000000</v>
      </c>
      <c r="D46" s="619"/>
      <c r="E46" s="619">
        <f t="shared" si="25"/>
        <v>4000000</v>
      </c>
      <c r="F46" s="239">
        <v>-4000000</v>
      </c>
      <c r="G46" s="614">
        <f t="shared" si="26"/>
        <v>0</v>
      </c>
      <c r="H46" s="679">
        <f>C46*6.25%+C46</f>
        <v>4250000</v>
      </c>
      <c r="I46" s="680">
        <f t="shared" si="27"/>
        <v>4515625</v>
      </c>
    </row>
    <row r="47" spans="1:9" s="675" customFormat="1" ht="16.5" customHeight="1" x14ac:dyDescent="0.25">
      <c r="A47" s="768" t="s">
        <v>60</v>
      </c>
      <c r="B47" s="614">
        <f>750000/2</f>
        <v>375000</v>
      </c>
      <c r="C47" s="614">
        <f t="shared" si="27"/>
        <v>398437.5</v>
      </c>
      <c r="D47" s="619">
        <v>33740</v>
      </c>
      <c r="E47" s="619">
        <f t="shared" si="25"/>
        <v>364697.5</v>
      </c>
      <c r="F47" s="879">
        <f>-398438*0.6</f>
        <v>-239062.8</v>
      </c>
      <c r="G47" s="614">
        <f t="shared" si="26"/>
        <v>159374.70000000001</v>
      </c>
      <c r="H47" s="614">
        <f>C47*6.25%+C47</f>
        <v>423339.84375</v>
      </c>
      <c r="I47" s="615">
        <f t="shared" si="27"/>
        <v>449798.583984375</v>
      </c>
    </row>
    <row r="48" spans="1:9" s="675" customFormat="1" ht="18" customHeight="1" x14ac:dyDescent="0.25">
      <c r="A48" s="768" t="s">
        <v>712</v>
      </c>
      <c r="B48" s="614"/>
      <c r="C48" s="614">
        <v>1000000</v>
      </c>
      <c r="D48" s="619"/>
      <c r="E48" s="619">
        <f t="shared" si="25"/>
        <v>1000000</v>
      </c>
      <c r="F48" s="239">
        <v>-1000000</v>
      </c>
      <c r="G48" s="614">
        <f t="shared" si="26"/>
        <v>0</v>
      </c>
      <c r="H48" s="619">
        <v>1500000</v>
      </c>
      <c r="I48" s="615"/>
    </row>
    <row r="49" spans="1:9" s="675" customFormat="1" ht="27" customHeight="1" x14ac:dyDescent="0.25">
      <c r="A49" s="768" t="s">
        <v>406</v>
      </c>
      <c r="B49" s="614">
        <v>0</v>
      </c>
      <c r="C49" s="614">
        <v>1000000</v>
      </c>
      <c r="D49" s="619"/>
      <c r="E49" s="619">
        <f t="shared" si="25"/>
        <v>1000000</v>
      </c>
      <c r="F49" s="239">
        <v>-1000000</v>
      </c>
      <c r="G49" s="614">
        <f t="shared" si="26"/>
        <v>0</v>
      </c>
      <c r="H49" s="619">
        <v>0</v>
      </c>
      <c r="I49" s="615">
        <f>H49*6.9%+H49</f>
        <v>0</v>
      </c>
    </row>
    <row r="50" spans="1:9" s="675" customFormat="1" ht="15" x14ac:dyDescent="0.25">
      <c r="A50" s="768" t="s">
        <v>565</v>
      </c>
      <c r="B50" s="771">
        <v>0</v>
      </c>
      <c r="C50" s="614">
        <v>1000000</v>
      </c>
      <c r="D50" s="619"/>
      <c r="E50" s="619">
        <f t="shared" si="25"/>
        <v>1000000</v>
      </c>
      <c r="F50" s="239">
        <v>-1000000</v>
      </c>
      <c r="G50" s="614">
        <f t="shared" si="26"/>
        <v>0</v>
      </c>
      <c r="H50" s="619"/>
      <c r="I50" s="615"/>
    </row>
    <row r="51" spans="1:9" s="670" customFormat="1" ht="26.25" x14ac:dyDescent="0.25">
      <c r="A51" s="768" t="s">
        <v>723</v>
      </c>
      <c r="B51" s="617"/>
      <c r="C51" s="614">
        <v>3000000</v>
      </c>
      <c r="D51" s="619"/>
      <c r="E51" s="619">
        <f t="shared" si="25"/>
        <v>3000000</v>
      </c>
      <c r="F51" s="239">
        <v>0</v>
      </c>
      <c r="G51" s="614">
        <f t="shared" si="26"/>
        <v>3000000</v>
      </c>
      <c r="H51" s="683">
        <v>4500000</v>
      </c>
      <c r="I51" s="680">
        <v>10000000</v>
      </c>
    </row>
    <row r="52" spans="1:9" s="675" customFormat="1" ht="15" x14ac:dyDescent="0.25">
      <c r="A52" s="768" t="s">
        <v>467</v>
      </c>
      <c r="B52" s="771">
        <v>0</v>
      </c>
      <c r="C52" s="614">
        <v>800000</v>
      </c>
      <c r="D52" s="619"/>
      <c r="E52" s="619">
        <f t="shared" si="25"/>
        <v>800000</v>
      </c>
      <c r="F52" s="239">
        <v>0</v>
      </c>
      <c r="G52" s="614">
        <f t="shared" si="26"/>
        <v>800000</v>
      </c>
      <c r="H52" s="619"/>
      <c r="I52" s="615"/>
    </row>
    <row r="53" spans="1:9" s="670" customFormat="1" ht="26.25" x14ac:dyDescent="0.25">
      <c r="A53" s="768" t="s">
        <v>564</v>
      </c>
      <c r="B53" s="771">
        <v>0</v>
      </c>
      <c r="C53" s="614">
        <v>1400000</v>
      </c>
      <c r="D53" s="619"/>
      <c r="E53" s="619">
        <f t="shared" si="25"/>
        <v>1400000</v>
      </c>
      <c r="F53" s="239">
        <v>-1400000</v>
      </c>
      <c r="G53" s="614">
        <f t="shared" si="26"/>
        <v>0</v>
      </c>
      <c r="H53" s="619"/>
      <c r="I53" s="615"/>
    </row>
    <row r="54" spans="1:9" s="682" customFormat="1" ht="15" x14ac:dyDescent="0.25">
      <c r="A54" s="768" t="s">
        <v>566</v>
      </c>
      <c r="B54" s="614">
        <f>950000-950000</f>
        <v>0</v>
      </c>
      <c r="C54" s="614">
        <v>500000</v>
      </c>
      <c r="D54" s="619"/>
      <c r="E54" s="619">
        <f t="shared" si="25"/>
        <v>500000</v>
      </c>
      <c r="F54" s="239">
        <v>-500000</v>
      </c>
      <c r="G54" s="614">
        <f t="shared" si="26"/>
        <v>0</v>
      </c>
      <c r="H54" s="619"/>
      <c r="I54" s="615"/>
    </row>
    <row r="55" spans="1:9" s="675" customFormat="1" ht="15" x14ac:dyDescent="0.25">
      <c r="A55" s="768" t="s">
        <v>567</v>
      </c>
      <c r="B55" s="614">
        <f>1500000</f>
        <v>1500000</v>
      </c>
      <c r="C55" s="614">
        <v>1500000</v>
      </c>
      <c r="D55" s="619"/>
      <c r="E55" s="619">
        <f t="shared" si="25"/>
        <v>1500000</v>
      </c>
      <c r="F55" s="239">
        <v>-1500000</v>
      </c>
      <c r="G55" s="614">
        <f t="shared" si="26"/>
        <v>0</v>
      </c>
      <c r="H55" s="619">
        <v>1000000</v>
      </c>
      <c r="I55" s="615">
        <v>500000</v>
      </c>
    </row>
    <row r="56" spans="1:9" s="682" customFormat="1" ht="15" x14ac:dyDescent="0.25">
      <c r="A56" s="768" t="s">
        <v>568</v>
      </c>
      <c r="B56" s="771">
        <v>10000</v>
      </c>
      <c r="C56" s="614">
        <v>500000</v>
      </c>
      <c r="D56" s="619"/>
      <c r="E56" s="619">
        <f t="shared" si="25"/>
        <v>500000</v>
      </c>
      <c r="F56" s="239">
        <v>0</v>
      </c>
      <c r="G56" s="614">
        <f t="shared" si="26"/>
        <v>500000</v>
      </c>
      <c r="H56" s="619">
        <v>500000</v>
      </c>
      <c r="I56" s="615">
        <v>750000</v>
      </c>
    </row>
    <row r="57" spans="1:9" s="682" customFormat="1" ht="15" x14ac:dyDescent="0.25">
      <c r="A57" s="768" t="s">
        <v>571</v>
      </c>
      <c r="B57" s="771">
        <f>250000-250000</f>
        <v>0</v>
      </c>
      <c r="C57" s="614">
        <v>1000000</v>
      </c>
      <c r="D57" s="619"/>
      <c r="E57" s="619">
        <f t="shared" si="25"/>
        <v>1000000</v>
      </c>
      <c r="F57" s="239">
        <v>-1000000</v>
      </c>
      <c r="G57" s="614">
        <f t="shared" si="26"/>
        <v>0</v>
      </c>
      <c r="H57" s="619">
        <v>2000000</v>
      </c>
      <c r="I57" s="615">
        <v>2000000</v>
      </c>
    </row>
    <row r="58" spans="1:9" s="682" customFormat="1" ht="26.25" x14ac:dyDescent="0.25">
      <c r="A58" s="768" t="s">
        <v>724</v>
      </c>
      <c r="B58" s="614">
        <f>1450000-1050000-400000</f>
        <v>0</v>
      </c>
      <c r="C58" s="614">
        <v>1500000</v>
      </c>
      <c r="D58" s="619"/>
      <c r="E58" s="619">
        <f t="shared" si="25"/>
        <v>1500000</v>
      </c>
      <c r="F58" s="239">
        <v>0</v>
      </c>
      <c r="G58" s="614">
        <f t="shared" si="26"/>
        <v>1500000</v>
      </c>
      <c r="H58" s="619">
        <v>1600000</v>
      </c>
      <c r="I58" s="615">
        <v>3000000</v>
      </c>
    </row>
    <row r="59" spans="1:9" s="675" customFormat="1" ht="15" x14ac:dyDescent="0.25">
      <c r="A59" s="768" t="s">
        <v>407</v>
      </c>
      <c r="B59" s="614">
        <f>1150000-1150000</f>
        <v>0</v>
      </c>
      <c r="C59" s="614">
        <v>1600000</v>
      </c>
      <c r="D59" s="619"/>
      <c r="E59" s="619">
        <f t="shared" si="25"/>
        <v>1600000</v>
      </c>
      <c r="F59" s="239">
        <v>-1600000</v>
      </c>
      <c r="G59" s="614">
        <f t="shared" si="26"/>
        <v>0</v>
      </c>
      <c r="H59" s="619">
        <v>2500000</v>
      </c>
      <c r="I59" s="615">
        <v>5000000</v>
      </c>
    </row>
    <row r="60" spans="1:9" s="670" customFormat="1" ht="16.5" customHeight="1" x14ac:dyDescent="0.2">
      <c r="A60" s="763" t="s">
        <v>42</v>
      </c>
      <c r="B60" s="617">
        <f>SUM(B44:B59)</f>
        <v>14620000</v>
      </c>
      <c r="C60" s="617">
        <f t="shared" ref="C60:I60" si="28">SUM(C43:C59)</f>
        <v>20985380.625</v>
      </c>
      <c r="D60" s="617">
        <f t="shared" si="28"/>
        <v>6534278</v>
      </c>
      <c r="E60" s="617">
        <f t="shared" si="28"/>
        <v>14451102.625</v>
      </c>
      <c r="F60" s="617">
        <f t="shared" si="28"/>
        <v>-7089062.7999999998</v>
      </c>
      <c r="G60" s="617">
        <f t="shared" si="28"/>
        <v>13896317.824999999</v>
      </c>
      <c r="H60" s="617">
        <f t="shared" si="28"/>
        <v>20171966.9140625</v>
      </c>
      <c r="I60" s="617">
        <f t="shared" si="28"/>
        <v>28232714.846191406</v>
      </c>
    </row>
    <row r="61" spans="1:9" s="672" customFormat="1" ht="16.5" customHeight="1" x14ac:dyDescent="0.2">
      <c r="A61" s="768"/>
      <c r="B61" s="617"/>
      <c r="C61" s="617"/>
      <c r="D61" s="617"/>
      <c r="E61" s="617"/>
      <c r="F61" s="617"/>
      <c r="G61" s="617"/>
      <c r="H61" s="617"/>
      <c r="I61" s="617"/>
    </row>
    <row r="62" spans="1:9" x14ac:dyDescent="0.2">
      <c r="A62" s="774"/>
      <c r="B62" s="765"/>
      <c r="C62" s="614"/>
      <c r="D62" s="619"/>
      <c r="E62" s="619"/>
      <c r="F62" s="619"/>
      <c r="G62" s="619"/>
      <c r="H62" s="619"/>
      <c r="I62" s="615">
        <f>H62*6.9%+H62</f>
        <v>0</v>
      </c>
    </row>
    <row r="63" spans="1:9" x14ac:dyDescent="0.2">
      <c r="A63" s="763" t="s">
        <v>48</v>
      </c>
      <c r="B63" s="765"/>
      <c r="C63" s="617">
        <f>C12+C20+C23+C31+C37+C40+C60</f>
        <v>652531475.14999998</v>
      </c>
      <c r="D63" s="617">
        <f t="shared" ref="D63:I63" si="29">D12+D20+D23+D31+D37+D40+D60</f>
        <v>412309703.48000002</v>
      </c>
      <c r="E63" s="617">
        <f t="shared" si="29"/>
        <v>240221771.67000002</v>
      </c>
      <c r="F63" s="617">
        <f t="shared" si="29"/>
        <v>111285168.2</v>
      </c>
      <c r="G63" s="617">
        <f t="shared" si="29"/>
        <v>763782643.35000002</v>
      </c>
      <c r="H63" s="617">
        <f t="shared" si="29"/>
        <v>650002192.34687495</v>
      </c>
      <c r="I63" s="617">
        <f t="shared" si="29"/>
        <v>707489829.36855471</v>
      </c>
    </row>
    <row r="64" spans="1:9" ht="13.5" thickBot="1" x14ac:dyDescent="0.25">
      <c r="A64" s="775"/>
      <c r="B64" s="688">
        <v>40000000</v>
      </c>
      <c r="C64" s="688" t="s">
        <v>597</v>
      </c>
      <c r="D64" s="688"/>
      <c r="E64" s="688"/>
      <c r="F64" s="688"/>
      <c r="G64" s="688"/>
      <c r="H64" s="689"/>
      <c r="I64" s="690"/>
    </row>
    <row r="65" spans="1:2" x14ac:dyDescent="0.2">
      <c r="A65" s="776"/>
      <c r="B65" s="691"/>
    </row>
    <row r="66" spans="1:2" x14ac:dyDescent="0.2">
      <c r="A66" s="776"/>
      <c r="B66" s="620"/>
    </row>
    <row r="67" spans="1:2" x14ac:dyDescent="0.2">
      <c r="A67" s="776"/>
      <c r="B67" s="620"/>
    </row>
    <row r="68" spans="1:2" x14ac:dyDescent="0.2">
      <c r="A68" s="776"/>
      <c r="B68" s="620"/>
    </row>
    <row r="69" spans="1:2" x14ac:dyDescent="0.2">
      <c r="A69" s="776"/>
      <c r="B69" s="620"/>
    </row>
    <row r="70" spans="1:2" x14ac:dyDescent="0.2">
      <c r="A70" s="776"/>
      <c r="B70" s="620"/>
    </row>
    <row r="71" spans="1:2" x14ac:dyDescent="0.2">
      <c r="A71" s="776"/>
      <c r="B71" s="620"/>
    </row>
    <row r="72" spans="1:2" x14ac:dyDescent="0.2">
      <c r="A72" s="776"/>
      <c r="B72" s="620"/>
    </row>
    <row r="73" spans="1:2" x14ac:dyDescent="0.2">
      <c r="A73" s="776"/>
      <c r="B73" s="620"/>
    </row>
    <row r="74" spans="1:2" x14ac:dyDescent="0.2">
      <c r="A74" s="776"/>
      <c r="B74" s="620"/>
    </row>
    <row r="75" spans="1:2" x14ac:dyDescent="0.2">
      <c r="A75" s="776"/>
      <c r="B75" s="620"/>
    </row>
    <row r="76" spans="1:2" x14ac:dyDescent="0.2">
      <c r="A76" s="776"/>
      <c r="B76" s="620"/>
    </row>
    <row r="77" spans="1:2" x14ac:dyDescent="0.2">
      <c r="A77" s="776"/>
      <c r="B77" s="620"/>
    </row>
    <row r="78" spans="1:2" x14ac:dyDescent="0.2">
      <c r="A78" s="776"/>
      <c r="B78" s="620"/>
    </row>
    <row r="79" spans="1:2" x14ac:dyDescent="0.2">
      <c r="A79" s="776"/>
      <c r="B79" s="620"/>
    </row>
    <row r="80" spans="1:2" x14ac:dyDescent="0.2">
      <c r="A80" s="776"/>
      <c r="B80" s="620"/>
    </row>
    <row r="81" spans="1:2" x14ac:dyDescent="0.2">
      <c r="A81" s="776"/>
      <c r="B81" s="620"/>
    </row>
    <row r="82" spans="1:2" x14ac:dyDescent="0.2">
      <c r="A82" s="776"/>
      <c r="B82" s="620"/>
    </row>
    <row r="83" spans="1:2" x14ac:dyDescent="0.2">
      <c r="A83" s="776"/>
      <c r="B83" s="620"/>
    </row>
    <row r="84" spans="1:2" x14ac:dyDescent="0.2">
      <c r="A84" s="776"/>
      <c r="B84" s="620"/>
    </row>
    <row r="85" spans="1:2" x14ac:dyDescent="0.2">
      <c r="A85" s="776"/>
      <c r="B85" s="620"/>
    </row>
    <row r="86" spans="1:2" x14ac:dyDescent="0.2">
      <c r="A86" s="776"/>
      <c r="B86" s="620"/>
    </row>
    <row r="87" spans="1:2" x14ac:dyDescent="0.2">
      <c r="A87" s="776"/>
      <c r="B87" s="620"/>
    </row>
    <row r="88" spans="1:2" x14ac:dyDescent="0.2">
      <c r="A88" s="776"/>
      <c r="B88" s="620"/>
    </row>
    <row r="89" spans="1:2" x14ac:dyDescent="0.2">
      <c r="A89" s="776"/>
      <c r="B89" s="620"/>
    </row>
    <row r="90" spans="1:2" x14ac:dyDescent="0.2">
      <c r="A90" s="776"/>
      <c r="B90" s="620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62" orientation="landscape" r:id="rId1"/>
  <headerFooter alignWithMargins="0">
    <oddFooter>&amp;C&amp;A&amp;RPage &amp;P</oddFooter>
  </headerFooter>
  <rowBreaks count="1" manualBreakCount="1">
    <brk id="27" max="16383" man="1"/>
  </row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WhiteSpace="0" view="pageBreakPreview" topLeftCell="A31" zoomScale="98" zoomScaleNormal="61" zoomScaleSheetLayoutView="98" workbookViewId="0">
      <pane xSplit="2" topLeftCell="C1" activePane="topRight" state="frozen"/>
      <selection activeCell="A60" sqref="A60"/>
      <selection pane="topRight" activeCell="E8" sqref="E8"/>
    </sheetView>
  </sheetViews>
  <sheetFormatPr defaultColWidth="9.28515625" defaultRowHeight="12.75" x14ac:dyDescent="0.2"/>
  <cols>
    <col min="1" max="1" width="51" style="777" customWidth="1"/>
    <col min="2" max="2" width="17.7109375" style="613" hidden="1" customWidth="1"/>
    <col min="3" max="7" width="16.42578125" style="613" customWidth="1"/>
    <col min="8" max="8" width="15" style="613" customWidth="1"/>
    <col min="9" max="9" width="14" style="613" customWidth="1"/>
    <col min="10" max="16384" width="9.28515625" style="667"/>
  </cols>
  <sheetData>
    <row r="1" spans="1:9" x14ac:dyDescent="0.2">
      <c r="A1" s="762" t="s">
        <v>49</v>
      </c>
      <c r="B1" s="612"/>
      <c r="C1" s="612"/>
      <c r="D1" s="612"/>
      <c r="E1" s="612"/>
      <c r="F1" s="612"/>
      <c r="G1" s="612"/>
      <c r="H1" s="612"/>
    </row>
    <row r="2" spans="1:9" ht="13.5" thickBot="1" x14ac:dyDescent="0.25">
      <c r="A2" s="766"/>
      <c r="B2" s="612"/>
      <c r="C2" s="612"/>
      <c r="D2" s="612"/>
      <c r="E2" s="612"/>
      <c r="F2" s="612"/>
      <c r="G2" s="612"/>
      <c r="H2" s="612"/>
    </row>
    <row r="3" spans="1:9" s="670" customFormat="1" ht="33.75" customHeight="1" thickBot="1" x14ac:dyDescent="0.25">
      <c r="A3" s="767" t="s">
        <v>39</v>
      </c>
      <c r="B3" s="756" t="s">
        <v>393</v>
      </c>
      <c r="C3" s="558" t="s">
        <v>442</v>
      </c>
      <c r="D3" s="761" t="s">
        <v>800</v>
      </c>
      <c r="E3" s="779" t="s">
        <v>87</v>
      </c>
      <c r="F3" s="761" t="s">
        <v>164</v>
      </c>
      <c r="G3" s="761" t="s">
        <v>789</v>
      </c>
      <c r="H3" s="668" t="s">
        <v>556</v>
      </c>
      <c r="I3" s="669" t="s">
        <v>644</v>
      </c>
    </row>
    <row r="4" spans="1:9" s="672" customFormat="1" ht="16.5" customHeight="1" x14ac:dyDescent="0.2">
      <c r="A4" s="768"/>
      <c r="B4" s="617"/>
      <c r="C4" s="617"/>
      <c r="D4" s="617"/>
      <c r="E4" s="617"/>
      <c r="F4" s="617"/>
      <c r="G4" s="617"/>
      <c r="H4" s="617"/>
      <c r="I4" s="617"/>
    </row>
    <row r="5" spans="1:9" s="770" customFormat="1" ht="37.5" customHeight="1" x14ac:dyDescent="0.2">
      <c r="A5" s="768" t="s">
        <v>725</v>
      </c>
      <c r="B5" s="617"/>
      <c r="C5" s="614">
        <v>60000000</v>
      </c>
      <c r="D5" s="619">
        <f>28075614+1052200+107168785</f>
        <v>136296599</v>
      </c>
      <c r="E5" s="619">
        <f t="shared" ref="E5:E37" si="0">C5-D5</f>
        <v>-76296599</v>
      </c>
      <c r="F5" s="619">
        <v>56000000</v>
      </c>
      <c r="G5" s="614">
        <f t="shared" ref="G5:G49" si="1">C5+F5</f>
        <v>116000000</v>
      </c>
      <c r="H5" s="619">
        <v>35000000</v>
      </c>
      <c r="I5" s="615">
        <v>45000000</v>
      </c>
    </row>
    <row r="6" spans="1:9" s="770" customFormat="1" ht="37.5" customHeight="1" x14ac:dyDescent="0.2">
      <c r="A6" s="768" t="s">
        <v>790</v>
      </c>
      <c r="B6" s="617"/>
      <c r="C6" s="614">
        <v>10000000</v>
      </c>
      <c r="D6" s="619"/>
      <c r="E6" s="619">
        <f t="shared" si="0"/>
        <v>10000000</v>
      </c>
      <c r="F6" s="619"/>
      <c r="G6" s="614">
        <f t="shared" si="1"/>
        <v>10000000</v>
      </c>
      <c r="H6" s="619"/>
      <c r="I6" s="615"/>
    </row>
    <row r="7" spans="1:9" s="772" customFormat="1" ht="17.850000000000001" customHeight="1" x14ac:dyDescent="0.25">
      <c r="A7" s="773" t="s">
        <v>688</v>
      </c>
      <c r="B7" s="684"/>
      <c r="C7" s="677">
        <v>4000000</v>
      </c>
      <c r="D7" s="678"/>
      <c r="E7" s="619">
        <f t="shared" si="0"/>
        <v>4000000</v>
      </c>
      <c r="F7" s="239">
        <v>0</v>
      </c>
      <c r="G7" s="614">
        <f t="shared" si="1"/>
        <v>4000000</v>
      </c>
      <c r="H7" s="619">
        <v>0</v>
      </c>
      <c r="I7" s="615">
        <v>0</v>
      </c>
    </row>
    <row r="8" spans="1:9" s="772" customFormat="1" ht="25.5" x14ac:dyDescent="0.25">
      <c r="A8" s="773" t="s">
        <v>783</v>
      </c>
      <c r="B8" s="684"/>
      <c r="C8" s="685">
        <v>4000000</v>
      </c>
      <c r="D8" s="707"/>
      <c r="E8" s="619">
        <f t="shared" si="0"/>
        <v>4000000</v>
      </c>
      <c r="F8" s="239">
        <v>0</v>
      </c>
      <c r="G8" s="614">
        <f t="shared" si="1"/>
        <v>4000000</v>
      </c>
      <c r="H8" s="619">
        <v>0</v>
      </c>
      <c r="I8" s="615">
        <v>0</v>
      </c>
    </row>
    <row r="9" spans="1:9" s="772" customFormat="1" ht="25.5" x14ac:dyDescent="0.25">
      <c r="A9" s="773" t="s">
        <v>785</v>
      </c>
      <c r="B9" s="684"/>
      <c r="C9" s="685">
        <v>4000000</v>
      </c>
      <c r="D9" s="707"/>
      <c r="E9" s="619">
        <f t="shared" si="0"/>
        <v>4000000</v>
      </c>
      <c r="F9" s="239">
        <v>0</v>
      </c>
      <c r="G9" s="614">
        <f t="shared" si="1"/>
        <v>4000000</v>
      </c>
      <c r="H9" s="619">
        <v>0</v>
      </c>
      <c r="I9" s="615">
        <v>0</v>
      </c>
    </row>
    <row r="10" spans="1:9" s="772" customFormat="1" ht="15" x14ac:dyDescent="0.25">
      <c r="A10" s="773" t="s">
        <v>817</v>
      </c>
      <c r="B10" s="684"/>
      <c r="C10" s="685">
        <v>0</v>
      </c>
      <c r="D10" s="707">
        <v>52533</v>
      </c>
      <c r="E10" s="619">
        <f t="shared" si="0"/>
        <v>-52533</v>
      </c>
      <c r="F10" s="239">
        <v>52533</v>
      </c>
      <c r="G10" s="614">
        <f t="shared" si="1"/>
        <v>52533</v>
      </c>
      <c r="H10" s="619"/>
      <c r="I10" s="615"/>
    </row>
    <row r="11" spans="1:9" s="772" customFormat="1" ht="15" x14ac:dyDescent="0.25">
      <c r="A11" s="773" t="s">
        <v>818</v>
      </c>
      <c r="B11" s="684"/>
      <c r="C11" s="685">
        <v>0</v>
      </c>
      <c r="D11" s="707">
        <v>756327</v>
      </c>
      <c r="E11" s="619">
        <f t="shared" si="0"/>
        <v>-756327</v>
      </c>
      <c r="F11" s="239">
        <v>756400</v>
      </c>
      <c r="G11" s="614">
        <f t="shared" si="1"/>
        <v>756400</v>
      </c>
      <c r="H11" s="619"/>
      <c r="I11" s="615"/>
    </row>
    <row r="12" spans="1:9" s="772" customFormat="1" ht="15" x14ac:dyDescent="0.25">
      <c r="A12" s="773" t="s">
        <v>689</v>
      </c>
      <c r="B12" s="685"/>
      <c r="C12" s="677">
        <v>0</v>
      </c>
      <c r="D12" s="678"/>
      <c r="E12" s="619">
        <f t="shared" si="0"/>
        <v>0</v>
      </c>
      <c r="F12" s="239">
        <v>0</v>
      </c>
      <c r="G12" s="614">
        <f t="shared" si="1"/>
        <v>0</v>
      </c>
      <c r="H12" s="619">
        <v>10000000</v>
      </c>
      <c r="I12" s="615">
        <v>10000000</v>
      </c>
    </row>
    <row r="13" spans="1:9" s="772" customFormat="1" ht="38.25" x14ac:dyDescent="0.25">
      <c r="A13" s="773" t="s">
        <v>784</v>
      </c>
      <c r="B13" s="685"/>
      <c r="C13" s="677">
        <v>4000000</v>
      </c>
      <c r="D13" s="678"/>
      <c r="E13" s="619">
        <f t="shared" si="0"/>
        <v>4000000</v>
      </c>
      <c r="F13" s="239">
        <v>0</v>
      </c>
      <c r="G13" s="614">
        <f t="shared" si="1"/>
        <v>4000000</v>
      </c>
      <c r="H13" s="619">
        <v>0</v>
      </c>
      <c r="I13" s="615">
        <v>0</v>
      </c>
    </row>
    <row r="14" spans="1:9" s="772" customFormat="1" ht="38.25" x14ac:dyDescent="0.25">
      <c r="A14" s="773" t="s">
        <v>690</v>
      </c>
      <c r="B14" s="685"/>
      <c r="C14" s="677">
        <v>4000000</v>
      </c>
      <c r="D14" s="678">
        <v>17740</v>
      </c>
      <c r="E14" s="619">
        <f t="shared" si="0"/>
        <v>3982260</v>
      </c>
      <c r="F14" s="239">
        <v>0</v>
      </c>
      <c r="G14" s="614">
        <f t="shared" si="1"/>
        <v>4000000</v>
      </c>
      <c r="H14" s="619">
        <v>0</v>
      </c>
      <c r="I14" s="615">
        <v>0</v>
      </c>
    </row>
    <row r="15" spans="1:9" s="772" customFormat="1" ht="27.6" customHeight="1" x14ac:dyDescent="0.25">
      <c r="A15" s="773" t="s">
        <v>691</v>
      </c>
      <c r="B15" s="685"/>
      <c r="C15" s="677">
        <v>4000000</v>
      </c>
      <c r="D15" s="678"/>
      <c r="E15" s="619">
        <f t="shared" si="0"/>
        <v>4000000</v>
      </c>
      <c r="F15" s="239">
        <v>0</v>
      </c>
      <c r="G15" s="614">
        <f t="shared" si="1"/>
        <v>4000000</v>
      </c>
      <c r="H15" s="619">
        <v>0</v>
      </c>
      <c r="I15" s="615">
        <v>0</v>
      </c>
    </row>
    <row r="16" spans="1:9" s="772" customFormat="1" ht="27.75" customHeight="1" x14ac:dyDescent="0.25">
      <c r="A16" s="686" t="s">
        <v>692</v>
      </c>
      <c r="B16" s="685"/>
      <c r="C16" s="677">
        <v>4000000</v>
      </c>
      <c r="D16" s="678"/>
      <c r="E16" s="619">
        <f t="shared" si="0"/>
        <v>4000000</v>
      </c>
      <c r="F16" s="724">
        <v>-4000000</v>
      </c>
      <c r="G16" s="614">
        <f t="shared" si="1"/>
        <v>0</v>
      </c>
      <c r="H16" s="619">
        <v>0</v>
      </c>
      <c r="I16" s="615">
        <v>0</v>
      </c>
    </row>
    <row r="17" spans="1:9" s="772" customFormat="1" ht="27.75" customHeight="1" x14ac:dyDescent="0.25">
      <c r="A17" s="781" t="s">
        <v>871</v>
      </c>
      <c r="B17" s="685"/>
      <c r="C17" s="677"/>
      <c r="D17" s="678"/>
      <c r="E17" s="619">
        <v>0</v>
      </c>
      <c r="F17" s="724">
        <v>4000000</v>
      </c>
      <c r="G17" s="614">
        <f t="shared" si="1"/>
        <v>4000000</v>
      </c>
      <c r="H17" s="619">
        <v>0</v>
      </c>
      <c r="I17" s="615"/>
    </row>
    <row r="18" spans="1:9" s="772" customFormat="1" ht="15" x14ac:dyDescent="0.25">
      <c r="A18" s="773" t="s">
        <v>693</v>
      </c>
      <c r="B18" s="684"/>
      <c r="C18" s="685">
        <v>4000000</v>
      </c>
      <c r="D18" s="678">
        <v>2760897</v>
      </c>
      <c r="E18" s="619">
        <f t="shared" si="0"/>
        <v>1239103</v>
      </c>
      <c r="F18" s="239">
        <v>0</v>
      </c>
      <c r="G18" s="614">
        <f t="shared" si="1"/>
        <v>4000000</v>
      </c>
      <c r="H18" s="619">
        <v>0</v>
      </c>
      <c r="I18" s="615">
        <v>0</v>
      </c>
    </row>
    <row r="19" spans="1:9" s="772" customFormat="1" ht="18.600000000000001" customHeight="1" x14ac:dyDescent="0.25">
      <c r="A19" s="773" t="s">
        <v>694</v>
      </c>
      <c r="B19" s="684"/>
      <c r="C19" s="685">
        <v>5000000</v>
      </c>
      <c r="D19" s="707"/>
      <c r="E19" s="619">
        <f t="shared" si="0"/>
        <v>5000000</v>
      </c>
      <c r="F19" s="239">
        <v>0</v>
      </c>
      <c r="G19" s="614">
        <f t="shared" si="1"/>
        <v>5000000</v>
      </c>
      <c r="H19" s="619">
        <v>0</v>
      </c>
      <c r="I19" s="615">
        <v>0</v>
      </c>
    </row>
    <row r="20" spans="1:9" s="772" customFormat="1" ht="18.600000000000001" customHeight="1" x14ac:dyDescent="0.25">
      <c r="A20" s="773" t="s">
        <v>698</v>
      </c>
      <c r="B20" s="684"/>
      <c r="C20" s="685">
        <v>0</v>
      </c>
      <c r="D20" s="707"/>
      <c r="E20" s="619">
        <f t="shared" si="0"/>
        <v>0</v>
      </c>
      <c r="F20" s="239">
        <v>0</v>
      </c>
      <c r="G20" s="614">
        <f t="shared" si="1"/>
        <v>0</v>
      </c>
      <c r="H20" s="619">
        <v>0</v>
      </c>
      <c r="I20" s="615">
        <v>10000000</v>
      </c>
    </row>
    <row r="21" spans="1:9" s="772" customFormat="1" ht="21" customHeight="1" x14ac:dyDescent="0.25">
      <c r="A21" s="773" t="s">
        <v>695</v>
      </c>
      <c r="B21" s="685"/>
      <c r="C21" s="677">
        <v>4000000</v>
      </c>
      <c r="D21" s="678"/>
      <c r="E21" s="619">
        <f t="shared" si="0"/>
        <v>4000000</v>
      </c>
      <c r="F21" s="239">
        <v>0</v>
      </c>
      <c r="G21" s="614">
        <f t="shared" si="1"/>
        <v>4000000</v>
      </c>
      <c r="H21" s="619">
        <v>0</v>
      </c>
      <c r="I21" s="615">
        <v>0</v>
      </c>
    </row>
    <row r="22" spans="1:9" s="772" customFormat="1" ht="17.850000000000001" customHeight="1" x14ac:dyDescent="0.25">
      <c r="A22" s="773" t="s">
        <v>696</v>
      </c>
      <c r="B22" s="685"/>
      <c r="C22" s="685">
        <v>4000000</v>
      </c>
      <c r="D22" s="707"/>
      <c r="E22" s="619">
        <f t="shared" si="0"/>
        <v>4000000</v>
      </c>
      <c r="F22" s="239">
        <v>0</v>
      </c>
      <c r="G22" s="614">
        <f t="shared" si="1"/>
        <v>4000000</v>
      </c>
      <c r="H22" s="619">
        <v>0</v>
      </c>
      <c r="I22" s="615">
        <v>0</v>
      </c>
    </row>
    <row r="23" spans="1:9" s="772" customFormat="1" ht="19.350000000000001" customHeight="1" x14ac:dyDescent="0.25">
      <c r="A23" s="773" t="s">
        <v>697</v>
      </c>
      <c r="B23" s="685"/>
      <c r="C23" s="677">
        <v>0</v>
      </c>
      <c r="D23" s="678"/>
      <c r="E23" s="619">
        <f t="shared" si="0"/>
        <v>0</v>
      </c>
      <c r="F23" s="239">
        <v>0</v>
      </c>
      <c r="G23" s="614">
        <f t="shared" si="1"/>
        <v>0</v>
      </c>
      <c r="H23" s="619">
        <v>10000000</v>
      </c>
      <c r="I23" s="615">
        <v>0</v>
      </c>
    </row>
    <row r="24" spans="1:9" s="772" customFormat="1" ht="19.350000000000001" customHeight="1" x14ac:dyDescent="0.25">
      <c r="A24" s="773" t="s">
        <v>699</v>
      </c>
      <c r="B24" s="685"/>
      <c r="C24" s="677">
        <v>0</v>
      </c>
      <c r="D24" s="678"/>
      <c r="E24" s="619">
        <f t="shared" si="0"/>
        <v>0</v>
      </c>
      <c r="F24" s="239">
        <v>0</v>
      </c>
      <c r="G24" s="614">
        <f t="shared" si="1"/>
        <v>0</v>
      </c>
      <c r="H24" s="619">
        <v>10000000</v>
      </c>
      <c r="I24" s="615">
        <v>0</v>
      </c>
    </row>
    <row r="25" spans="1:9" s="772" customFormat="1" ht="25.5" x14ac:dyDescent="0.25">
      <c r="A25" s="773" t="s">
        <v>700</v>
      </c>
      <c r="B25" s="685"/>
      <c r="C25" s="677">
        <v>0</v>
      </c>
      <c r="D25" s="678"/>
      <c r="E25" s="619">
        <f t="shared" si="0"/>
        <v>0</v>
      </c>
      <c r="F25" s="239">
        <v>0</v>
      </c>
      <c r="G25" s="614">
        <f t="shared" si="1"/>
        <v>0</v>
      </c>
      <c r="H25" s="619">
        <v>6863000</v>
      </c>
      <c r="I25" s="615">
        <v>0</v>
      </c>
    </row>
    <row r="26" spans="1:9" s="772" customFormat="1" ht="14.85" customHeight="1" x14ac:dyDescent="0.25">
      <c r="A26" s="773" t="s">
        <v>701</v>
      </c>
      <c r="B26" s="685"/>
      <c r="C26" s="677">
        <v>0</v>
      </c>
      <c r="D26" s="678"/>
      <c r="E26" s="619">
        <f t="shared" si="0"/>
        <v>0</v>
      </c>
      <c r="F26" s="239">
        <v>0</v>
      </c>
      <c r="G26" s="614">
        <f t="shared" si="1"/>
        <v>0</v>
      </c>
      <c r="H26" s="619">
        <v>2500000</v>
      </c>
      <c r="I26" s="615">
        <v>0</v>
      </c>
    </row>
    <row r="27" spans="1:9" s="772" customFormat="1" ht="24" customHeight="1" x14ac:dyDescent="0.25">
      <c r="A27" s="773" t="s">
        <v>702</v>
      </c>
      <c r="B27" s="687"/>
      <c r="C27" s="685">
        <v>0</v>
      </c>
      <c r="D27" s="707"/>
      <c r="E27" s="619">
        <f t="shared" si="0"/>
        <v>0</v>
      </c>
      <c r="F27" s="239">
        <v>0</v>
      </c>
      <c r="G27" s="614">
        <f t="shared" si="1"/>
        <v>0</v>
      </c>
      <c r="H27" s="619">
        <v>6000000</v>
      </c>
      <c r="I27" s="615">
        <v>0</v>
      </c>
    </row>
    <row r="28" spans="1:9" s="772" customFormat="1" ht="21" customHeight="1" x14ac:dyDescent="0.25">
      <c r="A28" s="773" t="s">
        <v>703</v>
      </c>
      <c r="B28" s="685"/>
      <c r="C28" s="677">
        <v>0</v>
      </c>
      <c r="D28" s="678"/>
      <c r="E28" s="619">
        <f t="shared" si="0"/>
        <v>0</v>
      </c>
      <c r="F28" s="239">
        <v>0</v>
      </c>
      <c r="G28" s="614">
        <f t="shared" si="1"/>
        <v>0</v>
      </c>
      <c r="H28" s="619">
        <v>8000000</v>
      </c>
      <c r="I28" s="615">
        <v>0</v>
      </c>
    </row>
    <row r="29" spans="1:9" s="772" customFormat="1" ht="15" x14ac:dyDescent="0.25">
      <c r="A29" s="773" t="s">
        <v>704</v>
      </c>
      <c r="B29" s="685"/>
      <c r="C29" s="677">
        <v>0</v>
      </c>
      <c r="D29" s="678"/>
      <c r="E29" s="619">
        <f t="shared" si="0"/>
        <v>0</v>
      </c>
      <c r="F29" s="239">
        <v>0</v>
      </c>
      <c r="G29" s="614">
        <f t="shared" si="1"/>
        <v>0</v>
      </c>
      <c r="H29" s="619">
        <v>10000000</v>
      </c>
      <c r="I29" s="615">
        <v>0</v>
      </c>
    </row>
    <row r="30" spans="1:9" s="772" customFormat="1" ht="13.5" customHeight="1" x14ac:dyDescent="0.25">
      <c r="A30" s="773" t="s">
        <v>705</v>
      </c>
      <c r="B30" s="687"/>
      <c r="C30" s="685">
        <v>0</v>
      </c>
      <c r="D30" s="707"/>
      <c r="E30" s="619">
        <f t="shared" si="0"/>
        <v>0</v>
      </c>
      <c r="F30" s="239">
        <v>0</v>
      </c>
      <c r="G30" s="614">
        <f t="shared" si="1"/>
        <v>0</v>
      </c>
      <c r="H30" s="619">
        <v>0</v>
      </c>
      <c r="I30" s="615">
        <v>0</v>
      </c>
    </row>
    <row r="31" spans="1:9" s="772" customFormat="1" ht="12" customHeight="1" x14ac:dyDescent="0.25">
      <c r="A31" s="773" t="s">
        <v>816</v>
      </c>
      <c r="B31" s="685"/>
      <c r="C31" s="677">
        <v>0</v>
      </c>
      <c r="D31" s="678">
        <v>358072</v>
      </c>
      <c r="E31" s="619">
        <f t="shared" si="0"/>
        <v>-358072</v>
      </c>
      <c r="F31" s="239">
        <v>359000</v>
      </c>
      <c r="G31" s="614">
        <f t="shared" si="1"/>
        <v>359000</v>
      </c>
      <c r="H31" s="619">
        <v>0</v>
      </c>
      <c r="I31" s="615">
        <v>0</v>
      </c>
    </row>
    <row r="32" spans="1:9" s="772" customFormat="1" ht="12.75" customHeight="1" x14ac:dyDescent="0.25">
      <c r="A32" s="773" t="s">
        <v>706</v>
      </c>
      <c r="B32" s="687"/>
      <c r="C32" s="685">
        <v>0</v>
      </c>
      <c r="D32" s="707"/>
      <c r="E32" s="619">
        <f t="shared" si="0"/>
        <v>0</v>
      </c>
      <c r="F32" s="239">
        <v>0</v>
      </c>
      <c r="G32" s="614">
        <f t="shared" si="1"/>
        <v>0</v>
      </c>
      <c r="H32" s="619">
        <v>0</v>
      </c>
      <c r="I32" s="615">
        <v>0</v>
      </c>
    </row>
    <row r="33" spans="1:9" s="772" customFormat="1" ht="15.6" customHeight="1" x14ac:dyDescent="0.25">
      <c r="A33" s="773" t="s">
        <v>707</v>
      </c>
      <c r="B33" s="685"/>
      <c r="C33" s="677">
        <v>0</v>
      </c>
      <c r="D33" s="678"/>
      <c r="E33" s="619">
        <f t="shared" si="0"/>
        <v>0</v>
      </c>
      <c r="F33" s="239">
        <v>0</v>
      </c>
      <c r="G33" s="614">
        <f t="shared" si="1"/>
        <v>0</v>
      </c>
      <c r="H33" s="619">
        <v>0</v>
      </c>
      <c r="I33" s="615">
        <v>5000000</v>
      </c>
    </row>
    <row r="34" spans="1:9" s="772" customFormat="1" ht="15.6" customHeight="1" x14ac:dyDescent="0.25">
      <c r="A34" s="773" t="s">
        <v>708</v>
      </c>
      <c r="B34" s="684"/>
      <c r="C34" s="685">
        <v>0</v>
      </c>
      <c r="D34" s="707"/>
      <c r="E34" s="619">
        <f t="shared" si="0"/>
        <v>0</v>
      </c>
      <c r="F34" s="239">
        <v>0</v>
      </c>
      <c r="G34" s="614">
        <f t="shared" si="1"/>
        <v>0</v>
      </c>
      <c r="H34" s="678">
        <v>0</v>
      </c>
      <c r="I34" s="615">
        <v>10000000</v>
      </c>
    </row>
    <row r="35" spans="1:9" s="772" customFormat="1" ht="15.6" customHeight="1" x14ac:dyDescent="0.25">
      <c r="A35" s="773" t="s">
        <v>709</v>
      </c>
      <c r="B35" s="684"/>
      <c r="C35" s="677">
        <v>0</v>
      </c>
      <c r="D35" s="678"/>
      <c r="E35" s="619">
        <f t="shared" si="0"/>
        <v>0</v>
      </c>
      <c r="F35" s="239">
        <v>0</v>
      </c>
      <c r="G35" s="614">
        <f t="shared" si="1"/>
        <v>0</v>
      </c>
      <c r="H35" s="619">
        <v>0</v>
      </c>
      <c r="I35" s="615">
        <v>10000000</v>
      </c>
    </row>
    <row r="36" spans="1:9" s="772" customFormat="1" ht="15.6" customHeight="1" x14ac:dyDescent="0.25">
      <c r="A36" s="773" t="s">
        <v>710</v>
      </c>
      <c r="B36" s="684"/>
      <c r="C36" s="685">
        <v>0</v>
      </c>
      <c r="D36" s="707"/>
      <c r="E36" s="619">
        <f t="shared" si="0"/>
        <v>0</v>
      </c>
      <c r="F36" s="239">
        <v>0</v>
      </c>
      <c r="G36" s="614">
        <f t="shared" si="1"/>
        <v>0</v>
      </c>
      <c r="H36" s="678">
        <v>0</v>
      </c>
      <c r="I36" s="615">
        <v>10000000</v>
      </c>
    </row>
    <row r="37" spans="1:9" s="772" customFormat="1" ht="15.6" customHeight="1" x14ac:dyDescent="0.25">
      <c r="A37" s="773" t="s">
        <v>711</v>
      </c>
      <c r="B37" s="684"/>
      <c r="C37" s="685">
        <v>0</v>
      </c>
      <c r="D37" s="707"/>
      <c r="E37" s="619">
        <f t="shared" si="0"/>
        <v>0</v>
      </c>
      <c r="F37" s="239">
        <v>0</v>
      </c>
      <c r="G37" s="614">
        <f t="shared" si="1"/>
        <v>0</v>
      </c>
      <c r="H37" s="619">
        <v>0</v>
      </c>
      <c r="I37" s="615">
        <v>0</v>
      </c>
    </row>
    <row r="38" spans="1:9" s="772" customFormat="1" ht="23.25" customHeight="1" x14ac:dyDescent="0.25">
      <c r="A38" s="782" t="s">
        <v>852</v>
      </c>
      <c r="B38" s="684"/>
      <c r="C38" s="685"/>
      <c r="D38" s="707"/>
      <c r="E38" s="619"/>
      <c r="F38" s="855">
        <v>3732272.27</v>
      </c>
      <c r="G38" s="614">
        <f t="shared" si="1"/>
        <v>3732272.27</v>
      </c>
      <c r="H38" s="619">
        <v>0</v>
      </c>
      <c r="I38" s="615">
        <v>0</v>
      </c>
    </row>
    <row r="39" spans="1:9" s="772" customFormat="1" ht="25.5" customHeight="1" x14ac:dyDescent="0.25">
      <c r="A39" s="782" t="s">
        <v>853</v>
      </c>
      <c r="B39" s="684"/>
      <c r="C39" s="685"/>
      <c r="D39" s="707"/>
      <c r="E39" s="619"/>
      <c r="F39" s="750">
        <v>1609192.02</v>
      </c>
      <c r="G39" s="614">
        <f t="shared" si="1"/>
        <v>1609192.02</v>
      </c>
      <c r="H39" s="619">
        <v>0</v>
      </c>
      <c r="I39" s="615">
        <v>0</v>
      </c>
    </row>
    <row r="40" spans="1:9" s="772" customFormat="1" ht="15.6" customHeight="1" x14ac:dyDescent="0.25">
      <c r="A40" s="783" t="s">
        <v>854</v>
      </c>
      <c r="B40" s="684"/>
      <c r="C40" s="685"/>
      <c r="D40" s="707"/>
      <c r="E40" s="619"/>
      <c r="F40" s="750">
        <v>3874609.34</v>
      </c>
      <c r="G40" s="614">
        <f t="shared" si="1"/>
        <v>3874609.34</v>
      </c>
      <c r="H40" s="619">
        <v>0</v>
      </c>
      <c r="I40" s="615">
        <v>0</v>
      </c>
    </row>
    <row r="41" spans="1:9" s="772" customFormat="1" ht="15.6" customHeight="1" x14ac:dyDescent="0.25">
      <c r="A41" s="783" t="s">
        <v>855</v>
      </c>
      <c r="B41" s="684"/>
      <c r="C41" s="685"/>
      <c r="D41" s="707"/>
      <c r="E41" s="619"/>
      <c r="F41" s="750">
        <v>7732000</v>
      </c>
      <c r="G41" s="614">
        <f t="shared" si="1"/>
        <v>7732000</v>
      </c>
      <c r="H41" s="619">
        <v>0</v>
      </c>
      <c r="I41" s="615">
        <v>0</v>
      </c>
    </row>
    <row r="42" spans="1:9" s="772" customFormat="1" ht="36" customHeight="1" x14ac:dyDescent="0.25">
      <c r="A42" s="784" t="s">
        <v>856</v>
      </c>
      <c r="B42" s="684"/>
      <c r="C42" s="685"/>
      <c r="D42" s="707">
        <v>234522</v>
      </c>
      <c r="E42" s="619">
        <f t="shared" ref="E42" si="2">C42-D42</f>
        <v>-234522</v>
      </c>
      <c r="F42" s="750">
        <v>3376976.97</v>
      </c>
      <c r="G42" s="614">
        <f t="shared" si="1"/>
        <v>3376976.97</v>
      </c>
      <c r="H42" s="619">
        <v>0</v>
      </c>
      <c r="I42" s="615">
        <v>0</v>
      </c>
    </row>
    <row r="43" spans="1:9" s="838" customFormat="1" ht="36" customHeight="1" x14ac:dyDescent="0.25">
      <c r="A43" s="845" t="s">
        <v>900</v>
      </c>
      <c r="B43" s="839"/>
      <c r="C43" s="685"/>
      <c r="D43" s="707"/>
      <c r="E43" s="619"/>
      <c r="F43" s="855">
        <v>8000000</v>
      </c>
      <c r="G43" s="614">
        <f t="shared" si="1"/>
        <v>8000000</v>
      </c>
      <c r="H43" s="619"/>
      <c r="I43" s="615"/>
    </row>
    <row r="44" spans="1:9" s="838" customFormat="1" ht="36" customHeight="1" x14ac:dyDescent="0.25">
      <c r="A44" s="844" t="s">
        <v>901</v>
      </c>
      <c r="B44" s="839"/>
      <c r="C44" s="685"/>
      <c r="D44" s="707"/>
      <c r="E44" s="619"/>
      <c r="F44" s="855">
        <v>4500000</v>
      </c>
      <c r="G44" s="614">
        <f t="shared" si="1"/>
        <v>4500000</v>
      </c>
      <c r="H44" s="619"/>
      <c r="I44" s="615"/>
    </row>
    <row r="45" spans="1:9" s="838" customFormat="1" ht="36" customHeight="1" x14ac:dyDescent="0.25">
      <c r="A45" s="844" t="s">
        <v>902</v>
      </c>
      <c r="B45" s="839"/>
      <c r="C45" s="685"/>
      <c r="D45" s="707"/>
      <c r="E45" s="619"/>
      <c r="F45" s="855">
        <v>8000000</v>
      </c>
      <c r="G45" s="614">
        <f t="shared" si="1"/>
        <v>8000000</v>
      </c>
      <c r="H45" s="619"/>
      <c r="I45" s="615"/>
    </row>
    <row r="46" spans="1:9" s="838" customFormat="1" ht="36" customHeight="1" x14ac:dyDescent="0.25">
      <c r="A46" s="844" t="s">
        <v>903</v>
      </c>
      <c r="B46" s="839"/>
      <c r="C46" s="685"/>
      <c r="D46" s="707"/>
      <c r="E46" s="619"/>
      <c r="F46" s="855">
        <v>6200000</v>
      </c>
      <c r="G46" s="614">
        <f t="shared" si="1"/>
        <v>6200000</v>
      </c>
      <c r="H46" s="619"/>
      <c r="I46" s="615"/>
    </row>
    <row r="47" spans="1:9" s="838" customFormat="1" ht="36" customHeight="1" x14ac:dyDescent="0.25">
      <c r="A47" s="846" t="s">
        <v>904</v>
      </c>
      <c r="B47" s="839"/>
      <c r="C47" s="685"/>
      <c r="D47" s="707"/>
      <c r="E47" s="619"/>
      <c r="F47" s="855">
        <v>6000000</v>
      </c>
      <c r="G47" s="614">
        <f t="shared" si="1"/>
        <v>6000000</v>
      </c>
      <c r="H47" s="619"/>
      <c r="I47" s="615"/>
    </row>
    <row r="48" spans="1:9" s="838" customFormat="1" ht="36" customHeight="1" x14ac:dyDescent="0.25">
      <c r="A48" s="847" t="s">
        <v>905</v>
      </c>
      <c r="B48" s="839"/>
      <c r="C48" s="685"/>
      <c r="D48" s="707"/>
      <c r="E48" s="619"/>
      <c r="F48" s="855">
        <v>4500000</v>
      </c>
      <c r="G48" s="614">
        <f t="shared" si="1"/>
        <v>4500000</v>
      </c>
      <c r="H48" s="619"/>
      <c r="I48" s="615"/>
    </row>
    <row r="49" spans="1:9" s="838" customFormat="1" ht="36" customHeight="1" x14ac:dyDescent="0.25">
      <c r="A49" s="844" t="s">
        <v>906</v>
      </c>
      <c r="B49" s="839"/>
      <c r="C49" s="685"/>
      <c r="D49" s="707"/>
      <c r="E49" s="619"/>
      <c r="F49" s="855">
        <v>8000000</v>
      </c>
      <c r="G49" s="614">
        <f t="shared" si="1"/>
        <v>8000000</v>
      </c>
      <c r="H49" s="619"/>
      <c r="I49" s="615"/>
    </row>
    <row r="50" spans="1:9" s="772" customFormat="1" ht="15.6" customHeight="1" x14ac:dyDescent="0.25">
      <c r="A50" s="740"/>
      <c r="B50" s="684"/>
      <c r="C50" s="685"/>
      <c r="D50" s="707"/>
      <c r="E50" s="619"/>
      <c r="F50" s="239"/>
      <c r="G50" s="614"/>
      <c r="H50" s="619"/>
      <c r="I50" s="615"/>
    </row>
    <row r="51" spans="1:9" x14ac:dyDescent="0.2">
      <c r="A51" s="763" t="s">
        <v>45</v>
      </c>
      <c r="B51" s="764"/>
      <c r="C51" s="617">
        <f>SUM(C5:C49)</f>
        <v>115000000</v>
      </c>
      <c r="D51" s="617">
        <f t="shared" ref="D51:I51" si="3">SUM(D5:D49)</f>
        <v>140476690</v>
      </c>
      <c r="E51" s="617">
        <f t="shared" si="3"/>
        <v>-25476690</v>
      </c>
      <c r="F51" s="617">
        <f t="shared" si="3"/>
        <v>122692983.60000001</v>
      </c>
      <c r="G51" s="617">
        <f t="shared" si="3"/>
        <v>237692983.60000002</v>
      </c>
      <c r="H51" s="617">
        <f t="shared" si="3"/>
        <v>98363000</v>
      </c>
      <c r="I51" s="617">
        <f t="shared" si="3"/>
        <v>100000000</v>
      </c>
    </row>
    <row r="52" spans="1:9" x14ac:dyDescent="0.2">
      <c r="A52" s="774"/>
      <c r="B52" s="765"/>
      <c r="C52" s="614"/>
      <c r="D52" s="619"/>
      <c r="E52" s="619"/>
      <c r="F52" s="619"/>
      <c r="G52" s="619"/>
      <c r="H52" s="619"/>
      <c r="I52" s="615">
        <f>H52*6.9%+H52</f>
        <v>0</v>
      </c>
    </row>
    <row r="53" spans="1:9" x14ac:dyDescent="0.2">
      <c r="A53" s="763" t="s">
        <v>48</v>
      </c>
      <c r="B53" s="765"/>
      <c r="C53" s="617">
        <f>C51</f>
        <v>115000000</v>
      </c>
      <c r="D53" s="617">
        <f t="shared" ref="D53:I53" si="4">D51</f>
        <v>140476690</v>
      </c>
      <c r="E53" s="617">
        <f t="shared" si="4"/>
        <v>-25476690</v>
      </c>
      <c r="F53" s="617">
        <f t="shared" si="4"/>
        <v>122692983.60000001</v>
      </c>
      <c r="G53" s="617">
        <f t="shared" si="4"/>
        <v>237692983.60000002</v>
      </c>
      <c r="H53" s="617">
        <f t="shared" si="4"/>
        <v>98363000</v>
      </c>
      <c r="I53" s="617">
        <f t="shared" si="4"/>
        <v>100000000</v>
      </c>
    </row>
    <row r="54" spans="1:9" ht="13.5" thickBot="1" x14ac:dyDescent="0.25">
      <c r="A54" s="775"/>
      <c r="B54" s="688">
        <v>40000000</v>
      </c>
      <c r="C54" s="688" t="s">
        <v>597</v>
      </c>
      <c r="D54" s="688"/>
      <c r="E54" s="688"/>
      <c r="F54" s="688"/>
      <c r="G54" s="688"/>
      <c r="H54" s="689"/>
      <c r="I54" s="690"/>
    </row>
    <row r="55" spans="1:9" x14ac:dyDescent="0.2">
      <c r="A55" s="776"/>
      <c r="B55" s="691"/>
    </row>
    <row r="56" spans="1:9" x14ac:dyDescent="0.2">
      <c r="A56" s="776"/>
      <c r="B56" s="620"/>
    </row>
    <row r="57" spans="1:9" x14ac:dyDescent="0.2">
      <c r="A57" s="776"/>
      <c r="B57" s="620"/>
    </row>
    <row r="58" spans="1:9" x14ac:dyDescent="0.2">
      <c r="A58" s="776"/>
      <c r="B58" s="620"/>
    </row>
    <row r="59" spans="1:9" x14ac:dyDescent="0.2">
      <c r="A59" s="776"/>
      <c r="B59" s="620"/>
    </row>
    <row r="60" spans="1:9" x14ac:dyDescent="0.2">
      <c r="A60" s="776"/>
      <c r="B60" s="620"/>
    </row>
    <row r="61" spans="1:9" x14ac:dyDescent="0.2">
      <c r="A61" s="776"/>
      <c r="B61" s="620"/>
    </row>
    <row r="62" spans="1:9" s="613" customFormat="1" x14ac:dyDescent="0.2">
      <c r="A62" s="776"/>
      <c r="B62" s="620"/>
    </row>
    <row r="63" spans="1:9" s="613" customFormat="1" x14ac:dyDescent="0.2">
      <c r="A63" s="776"/>
      <c r="B63" s="620"/>
    </row>
    <row r="64" spans="1:9" s="613" customFormat="1" x14ac:dyDescent="0.2">
      <c r="A64" s="776"/>
      <c r="B64" s="620"/>
    </row>
    <row r="65" spans="1:2" s="613" customFormat="1" x14ac:dyDescent="0.2">
      <c r="A65" s="776"/>
      <c r="B65" s="620"/>
    </row>
    <row r="66" spans="1:2" s="613" customFormat="1" x14ac:dyDescent="0.2">
      <c r="A66" s="776"/>
      <c r="B66" s="620"/>
    </row>
    <row r="67" spans="1:2" s="613" customFormat="1" x14ac:dyDescent="0.2">
      <c r="A67" s="776"/>
      <c r="B67" s="620"/>
    </row>
    <row r="68" spans="1:2" s="613" customFormat="1" x14ac:dyDescent="0.2">
      <c r="A68" s="776"/>
      <c r="B68" s="620"/>
    </row>
    <row r="69" spans="1:2" s="613" customFormat="1" x14ac:dyDescent="0.2">
      <c r="A69" s="776"/>
      <c r="B69" s="620"/>
    </row>
    <row r="70" spans="1:2" s="613" customFormat="1" x14ac:dyDescent="0.2">
      <c r="A70" s="776"/>
      <c r="B70" s="620"/>
    </row>
    <row r="71" spans="1:2" s="613" customFormat="1" x14ac:dyDescent="0.2">
      <c r="A71" s="776"/>
      <c r="B71" s="620"/>
    </row>
    <row r="72" spans="1:2" s="613" customFormat="1" x14ac:dyDescent="0.2">
      <c r="A72" s="776"/>
      <c r="B72" s="620"/>
    </row>
    <row r="73" spans="1:2" s="613" customFormat="1" x14ac:dyDescent="0.2">
      <c r="A73" s="776"/>
      <c r="B73" s="620"/>
    </row>
    <row r="74" spans="1:2" s="613" customFormat="1" x14ac:dyDescent="0.2">
      <c r="A74" s="776"/>
      <c r="B74" s="620"/>
    </row>
    <row r="75" spans="1:2" s="613" customFormat="1" x14ac:dyDescent="0.2">
      <c r="A75" s="776"/>
      <c r="B75" s="620"/>
    </row>
    <row r="76" spans="1:2" s="613" customFormat="1" x14ac:dyDescent="0.2">
      <c r="A76" s="776"/>
      <c r="B76" s="620"/>
    </row>
    <row r="77" spans="1:2" s="613" customFormat="1" x14ac:dyDescent="0.2">
      <c r="A77" s="776"/>
      <c r="B77" s="620"/>
    </row>
    <row r="78" spans="1:2" s="613" customFormat="1" x14ac:dyDescent="0.2">
      <c r="A78" s="776"/>
      <c r="B78" s="620"/>
    </row>
    <row r="79" spans="1:2" s="613" customFormat="1" x14ac:dyDescent="0.2">
      <c r="A79" s="776"/>
      <c r="B79" s="620"/>
    </row>
    <row r="80" spans="1:2" s="613" customFormat="1" x14ac:dyDescent="0.2">
      <c r="A80" s="776"/>
      <c r="B80" s="620"/>
    </row>
  </sheetData>
  <pageMargins left="0.74803149606299213" right="0.74803149606299213" top="0.98425196850393704" bottom="0.98425196850393704" header="0.51181102362204722" footer="0.51181102362204722"/>
  <pageSetup scale="74" fitToHeight="0" orientation="landscape" r:id="rId1"/>
  <headerFooter alignWithMargins="0">
    <oddFooter>&amp;C&amp;A&amp;RPage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I43"/>
  <sheetViews>
    <sheetView showWhiteSpace="0" view="pageBreakPreview" topLeftCell="A16" zoomScale="60" zoomScaleNormal="90" workbookViewId="0">
      <selection activeCell="F25" sqref="F25"/>
    </sheetView>
  </sheetViews>
  <sheetFormatPr defaultColWidth="9.28515625" defaultRowHeight="15" x14ac:dyDescent="0.25"/>
  <cols>
    <col min="1" max="1" width="41.42578125" style="352" customWidth="1"/>
    <col min="2" max="2" width="17.28515625" style="247" hidden="1" customWidth="1"/>
    <col min="3" max="7" width="18.7109375" style="247" customWidth="1"/>
    <col min="8" max="8" width="17.42578125" style="247" customWidth="1"/>
    <col min="9" max="9" width="15" style="352" customWidth="1"/>
    <col min="10" max="16384" width="9.28515625" style="352"/>
  </cols>
  <sheetData>
    <row r="1" spans="1:9" s="272" customFormat="1" ht="18.75" x14ac:dyDescent="0.3">
      <c r="A1" s="515" t="s">
        <v>475</v>
      </c>
      <c r="B1" s="363"/>
      <c r="C1" s="363"/>
      <c r="D1" s="363"/>
      <c r="E1" s="363"/>
      <c r="F1" s="363"/>
      <c r="G1" s="363"/>
      <c r="H1" s="363"/>
    </row>
    <row r="2" spans="1:9" s="272" customFormat="1" ht="19.5" thickBot="1" x14ac:dyDescent="0.35">
      <c r="A2" s="516"/>
      <c r="B2" s="363"/>
      <c r="C2" s="363"/>
      <c r="D2" s="363"/>
      <c r="E2" s="363"/>
      <c r="F2" s="363"/>
      <c r="G2" s="363"/>
      <c r="H2" s="363"/>
    </row>
    <row r="3" spans="1:9" s="272" customFormat="1" ht="44.2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09" t="s">
        <v>556</v>
      </c>
      <c r="I3" s="408" t="s">
        <v>644</v>
      </c>
    </row>
    <row r="4" spans="1:9" s="272" customFormat="1" x14ac:dyDescent="0.25">
      <c r="A4" s="253" t="s">
        <v>2</v>
      </c>
      <c r="B4" s="158">
        <v>14524086</v>
      </c>
      <c r="C4" s="158">
        <f>B4*6.25%+B4</f>
        <v>15431841.375</v>
      </c>
      <c r="D4" s="239">
        <v>8100441</v>
      </c>
      <c r="E4" s="239">
        <f>C4-D4</f>
        <v>7331400.375</v>
      </c>
      <c r="F4" s="239">
        <v>0</v>
      </c>
      <c r="G4" s="158">
        <f>C4+F4</f>
        <v>15431841.375</v>
      </c>
      <c r="H4" s="158">
        <f>C4*6.25%+C4</f>
        <v>16396331.4609375</v>
      </c>
      <c r="I4" s="386">
        <f>H4*6.25%+H4</f>
        <v>17421102.177246094</v>
      </c>
    </row>
    <row r="5" spans="1:9" s="272" customFormat="1" x14ac:dyDescent="0.25">
      <c r="A5" s="253" t="s">
        <v>3</v>
      </c>
      <c r="B5" s="158">
        <v>1210341</v>
      </c>
      <c r="C5" s="158">
        <f t="shared" ref="C5:C8" si="0">B5*6.25%+B5</f>
        <v>1285987.3125</v>
      </c>
      <c r="D5" s="239">
        <v>1173944</v>
      </c>
      <c r="E5" s="239">
        <f t="shared" ref="E5:E8" si="1">C5-D5</f>
        <v>112043.3125</v>
      </c>
      <c r="F5" s="239">
        <v>0</v>
      </c>
      <c r="G5" s="158">
        <f t="shared" ref="G5:G8" si="2">C5+F5</f>
        <v>1285987.3125</v>
      </c>
      <c r="H5" s="158">
        <f>C5*6.25%+C5</f>
        <v>1366361.51953125</v>
      </c>
      <c r="I5" s="386">
        <f>H5*6.9%+H5</f>
        <v>1460640.4643789062</v>
      </c>
    </row>
    <row r="6" spans="1:9" s="272" customFormat="1" x14ac:dyDescent="0.25">
      <c r="A6" s="253" t="s">
        <v>4</v>
      </c>
      <c r="B6" s="158">
        <v>288000</v>
      </c>
      <c r="C6" s="158">
        <f t="shared" si="0"/>
        <v>306000</v>
      </c>
      <c r="D6" s="239">
        <v>156251</v>
      </c>
      <c r="E6" s="239">
        <f t="shared" si="1"/>
        <v>149749</v>
      </c>
      <c r="F6" s="239">
        <v>0</v>
      </c>
      <c r="G6" s="158">
        <f t="shared" si="2"/>
        <v>306000</v>
      </c>
      <c r="H6" s="158">
        <f>C6*6.25%+C6</f>
        <v>325125</v>
      </c>
      <c r="I6" s="386">
        <f>H6*6.9%+H6</f>
        <v>347558.625</v>
      </c>
    </row>
    <row r="7" spans="1:9" s="272" customFormat="1" x14ac:dyDescent="0.25">
      <c r="A7" s="253" t="s">
        <v>173</v>
      </c>
      <c r="B7" s="158"/>
      <c r="C7" s="158">
        <v>1185654</v>
      </c>
      <c r="D7" s="239"/>
      <c r="E7" s="239">
        <f t="shared" si="1"/>
        <v>1185654</v>
      </c>
      <c r="F7" s="239">
        <v>0</v>
      </c>
      <c r="G7" s="158">
        <f t="shared" si="2"/>
        <v>1185654</v>
      </c>
      <c r="H7" s="158">
        <f>C7*6.25%+C7</f>
        <v>1259757.375</v>
      </c>
      <c r="I7" s="386">
        <f>H7*6.9%+H7</f>
        <v>1346680.6338750001</v>
      </c>
    </row>
    <row r="8" spans="1:9" s="272" customFormat="1" x14ac:dyDescent="0.25">
      <c r="A8" s="253" t="s">
        <v>5</v>
      </c>
      <c r="B8" s="158">
        <v>5243600</v>
      </c>
      <c r="C8" s="158">
        <f t="shared" si="0"/>
        <v>5571325</v>
      </c>
      <c r="D8" s="239">
        <v>2624749</v>
      </c>
      <c r="E8" s="239">
        <f t="shared" si="1"/>
        <v>2946576</v>
      </c>
      <c r="F8" s="239">
        <v>0</v>
      </c>
      <c r="G8" s="158">
        <f t="shared" si="2"/>
        <v>5571325</v>
      </c>
      <c r="H8" s="158">
        <f>C8*6.25%+C8</f>
        <v>5919532.8125</v>
      </c>
      <c r="I8" s="386">
        <f>H8*6.9%+H8</f>
        <v>6327980.5765624996</v>
      </c>
    </row>
    <row r="9" spans="1:9" s="272" customFormat="1" x14ac:dyDescent="0.25">
      <c r="A9" s="424" t="s">
        <v>40</v>
      </c>
      <c r="B9" s="246">
        <f>SUM(B4:B8)</f>
        <v>21266027</v>
      </c>
      <c r="C9" s="246">
        <f>SUM(C4:C8)</f>
        <v>23780807.6875</v>
      </c>
      <c r="D9" s="246">
        <f>SUM(D4:D8)</f>
        <v>12055385</v>
      </c>
      <c r="E9" s="246">
        <f>SUM(E4:E8)</f>
        <v>11725422.6875</v>
      </c>
      <c r="F9" s="246">
        <f t="shared" ref="F9:G9" si="3">SUM(F4:F8)</f>
        <v>0</v>
      </c>
      <c r="G9" s="246">
        <f t="shared" si="3"/>
        <v>23780807.6875</v>
      </c>
      <c r="H9" s="246">
        <f>SUM(H4:H8)</f>
        <v>25267108.16796875</v>
      </c>
      <c r="I9" s="387">
        <f>SUM(I4:I8)</f>
        <v>26903962.477062501</v>
      </c>
    </row>
    <row r="10" spans="1:9" s="272" customFormat="1" x14ac:dyDescent="0.25">
      <c r="A10" s="253"/>
      <c r="B10" s="158"/>
      <c r="C10" s="158"/>
      <c r="D10" s="239"/>
      <c r="E10" s="239"/>
      <c r="F10" s="239"/>
      <c r="G10" s="239"/>
      <c r="H10" s="239"/>
      <c r="I10" s="386"/>
    </row>
    <row r="11" spans="1:9" s="272" customFormat="1" x14ac:dyDescent="0.25">
      <c r="A11" s="253" t="s">
        <v>6</v>
      </c>
      <c r="B11" s="158">
        <v>1393560</v>
      </c>
      <c r="C11" s="158">
        <f t="shared" ref="C11:I13" si="4">B11*6.25%+B11</f>
        <v>1480657.5</v>
      </c>
      <c r="D11" s="239">
        <v>476715</v>
      </c>
      <c r="E11" s="239">
        <f t="shared" ref="E11:E14" si="5">C11-D11</f>
        <v>1003942.5</v>
      </c>
      <c r="F11" s="239">
        <v>-300000</v>
      </c>
      <c r="G11" s="158">
        <f t="shared" ref="G11:G15" si="6">C11+F11</f>
        <v>1180657.5</v>
      </c>
      <c r="H11" s="158">
        <f>C11*6.25%+C11</f>
        <v>1573198.59375</v>
      </c>
      <c r="I11" s="386">
        <f t="shared" si="4"/>
        <v>1671523.505859375</v>
      </c>
    </row>
    <row r="12" spans="1:9" s="272" customFormat="1" x14ac:dyDescent="0.25">
      <c r="A12" s="253" t="s">
        <v>7</v>
      </c>
      <c r="B12" s="158">
        <v>145241</v>
      </c>
      <c r="C12" s="158">
        <f t="shared" si="4"/>
        <v>154318.5625</v>
      </c>
      <c r="D12" s="239">
        <v>24985</v>
      </c>
      <c r="E12" s="239">
        <f t="shared" si="5"/>
        <v>129333.5625</v>
      </c>
      <c r="F12" s="239">
        <v>-60000</v>
      </c>
      <c r="G12" s="158">
        <f t="shared" si="6"/>
        <v>94318.5625</v>
      </c>
      <c r="H12" s="158">
        <f>C12*6.25%+C12</f>
        <v>163963.47265625</v>
      </c>
      <c r="I12" s="386">
        <f t="shared" si="4"/>
        <v>174211.18969726563</v>
      </c>
    </row>
    <row r="13" spans="1:9" s="272" customFormat="1" x14ac:dyDescent="0.25">
      <c r="A13" s="253" t="s">
        <v>53</v>
      </c>
      <c r="B13" s="158">
        <v>3369313</v>
      </c>
      <c r="C13" s="158">
        <f t="shared" si="4"/>
        <v>3579895.0625</v>
      </c>
      <c r="D13" s="239">
        <v>1362569</v>
      </c>
      <c r="E13" s="239">
        <f t="shared" si="5"/>
        <v>2217326.0625</v>
      </c>
      <c r="F13" s="239">
        <v>-400000</v>
      </c>
      <c r="G13" s="158">
        <f t="shared" si="6"/>
        <v>3179895.0625</v>
      </c>
      <c r="H13" s="158">
        <f>C13*6.25%+C13</f>
        <v>3803638.50390625</v>
      </c>
      <c r="I13" s="386">
        <f t="shared" si="4"/>
        <v>4041365.9104003906</v>
      </c>
    </row>
    <row r="14" spans="1:9" s="272" customFormat="1" x14ac:dyDescent="0.25">
      <c r="A14" s="253" t="s">
        <v>398</v>
      </c>
      <c r="B14" s="158"/>
      <c r="C14" s="158">
        <v>36975</v>
      </c>
      <c r="D14" s="239"/>
      <c r="E14" s="239">
        <f t="shared" si="5"/>
        <v>36975</v>
      </c>
      <c r="F14" s="239">
        <v>-36975</v>
      </c>
      <c r="G14" s="158">
        <f t="shared" si="6"/>
        <v>0</v>
      </c>
      <c r="H14" s="239">
        <v>39285.9375</v>
      </c>
      <c r="I14" s="386">
        <v>41741.30859375</v>
      </c>
    </row>
    <row r="15" spans="1:9" s="272" customFormat="1" x14ac:dyDescent="0.25">
      <c r="A15" s="785" t="s">
        <v>872</v>
      </c>
      <c r="B15" s="158">
        <v>145241</v>
      </c>
      <c r="F15" s="272">
        <v>1350</v>
      </c>
      <c r="G15" s="158">
        <f t="shared" si="6"/>
        <v>1350</v>
      </c>
      <c r="H15" s="272">
        <v>0</v>
      </c>
      <c r="I15" s="272">
        <v>0</v>
      </c>
    </row>
    <row r="16" spans="1:9" s="272" customFormat="1" x14ac:dyDescent="0.25">
      <c r="A16" s="424" t="s">
        <v>41</v>
      </c>
      <c r="B16" s="246">
        <f>SUM(B11:B15)</f>
        <v>5053355</v>
      </c>
      <c r="C16" s="246">
        <f>SUM(C11:C15)</f>
        <v>5251846.125</v>
      </c>
      <c r="D16" s="246">
        <f>SUM(D11:D15)</f>
        <v>1864269</v>
      </c>
      <c r="E16" s="246">
        <f>SUM(E11:E15)</f>
        <v>3387577.125</v>
      </c>
      <c r="F16" s="246">
        <f t="shared" ref="F16:G16" si="7">SUM(F11:F15)</f>
        <v>-795625</v>
      </c>
      <c r="G16" s="246">
        <f t="shared" si="7"/>
        <v>4456221.125</v>
      </c>
      <c r="H16" s="246">
        <f>SUM(H11:H15)</f>
        <v>5580086.5078125</v>
      </c>
      <c r="I16" s="246">
        <f>SUM(I11:I15)</f>
        <v>5928841.9145507813</v>
      </c>
    </row>
    <row r="17" spans="1:9" s="272" customFormat="1" x14ac:dyDescent="0.25">
      <c r="A17" s="253"/>
      <c r="B17" s="246"/>
      <c r="C17" s="246"/>
      <c r="D17" s="246"/>
      <c r="E17" s="246"/>
      <c r="F17" s="246"/>
      <c r="G17" s="246"/>
      <c r="H17" s="246"/>
      <c r="I17" s="246"/>
    </row>
    <row r="18" spans="1:9" x14ac:dyDescent="0.25">
      <c r="A18" s="477"/>
      <c r="B18" s="246"/>
      <c r="C18" s="246"/>
      <c r="D18" s="351"/>
      <c r="E18" s="351"/>
      <c r="F18" s="351"/>
      <c r="G18" s="351"/>
      <c r="H18" s="351"/>
      <c r="I18" s="386">
        <f>H18*6.9%+H18</f>
        <v>0</v>
      </c>
    </row>
    <row r="19" spans="1:9" x14ac:dyDescent="0.25">
      <c r="A19" s="253" t="s">
        <v>732</v>
      </c>
      <c r="B19" s="158">
        <v>500000</v>
      </c>
      <c r="C19" s="158">
        <v>500000</v>
      </c>
      <c r="D19" s="158"/>
      <c r="E19" s="239">
        <f t="shared" ref="E19" si="8">C19-D19</f>
        <v>500000</v>
      </c>
      <c r="F19" s="805"/>
      <c r="G19" s="158">
        <f t="shared" ref="G19" si="9">C19+F19</f>
        <v>500000</v>
      </c>
      <c r="H19" s="158">
        <v>550000</v>
      </c>
      <c r="I19" s="386">
        <v>600000</v>
      </c>
    </row>
    <row r="20" spans="1:9" x14ac:dyDescent="0.25">
      <c r="A20" s="424" t="s">
        <v>43</v>
      </c>
      <c r="B20" s="246">
        <f>SUM(B19)</f>
        <v>500000</v>
      </c>
      <c r="C20" s="246">
        <f>SUM(C19)</f>
        <v>500000</v>
      </c>
      <c r="D20" s="246">
        <f>SUM(D19)</f>
        <v>0</v>
      </c>
      <c r="E20" s="246">
        <f>SUM(E19)</f>
        <v>500000</v>
      </c>
      <c r="F20" s="806">
        <f t="shared" ref="F20:G20" si="10">SUM(F19)</f>
        <v>0</v>
      </c>
      <c r="G20" s="246">
        <f t="shared" si="10"/>
        <v>500000</v>
      </c>
      <c r="H20" s="246">
        <f>SUM(H19)</f>
        <v>550000</v>
      </c>
      <c r="I20" s="387">
        <f>SUM(I19)</f>
        <v>600000</v>
      </c>
    </row>
    <row r="21" spans="1:9" x14ac:dyDescent="0.25">
      <c r="A21" s="477"/>
      <c r="B21" s="246"/>
      <c r="C21" s="246"/>
      <c r="D21" s="351"/>
      <c r="E21" s="351"/>
      <c r="F21" s="351"/>
      <c r="G21" s="351"/>
      <c r="H21" s="351"/>
      <c r="I21" s="387"/>
    </row>
    <row r="22" spans="1:9" x14ac:dyDescent="0.25">
      <c r="A22" s="477"/>
      <c r="B22" s="246"/>
      <c r="C22" s="246"/>
      <c r="D22" s="351"/>
      <c r="E22" s="351"/>
      <c r="F22" s="351"/>
      <c r="G22" s="351"/>
      <c r="H22" s="351"/>
      <c r="I22" s="387"/>
    </row>
    <row r="23" spans="1:9" s="272" customFormat="1" x14ac:dyDescent="0.25">
      <c r="A23" s="253" t="s">
        <v>9</v>
      </c>
      <c r="B23" s="158"/>
      <c r="C23" s="158">
        <f>B15*6.25%+B15</f>
        <v>154318.5625</v>
      </c>
      <c r="D23" s="239">
        <v>109357</v>
      </c>
      <c r="E23" s="239">
        <f t="shared" ref="E23:E37" si="11">C23-D23</f>
        <v>44961.5625</v>
      </c>
      <c r="F23" s="813">
        <v>60000</v>
      </c>
      <c r="G23" s="158">
        <f t="shared" ref="G23:G37" si="12">C23+F23</f>
        <v>214318.5625</v>
      </c>
      <c r="H23" s="158">
        <f>C23*6.25%+C23</f>
        <v>163963.47265625</v>
      </c>
      <c r="I23" s="386">
        <f>H23*6.25%+H23</f>
        <v>174211.18969726563</v>
      </c>
    </row>
    <row r="24" spans="1:9" s="272" customFormat="1" x14ac:dyDescent="0.25">
      <c r="A24" s="253" t="s">
        <v>59</v>
      </c>
      <c r="B24" s="158">
        <v>40000</v>
      </c>
      <c r="C24" s="158">
        <f t="shared" ref="C24:I25" si="13">B24*6.25%+B24</f>
        <v>42500</v>
      </c>
      <c r="D24" s="239"/>
      <c r="E24" s="239">
        <f t="shared" si="11"/>
        <v>42500</v>
      </c>
      <c r="F24" s="239">
        <v>-25000</v>
      </c>
      <c r="G24" s="158">
        <f t="shared" si="12"/>
        <v>17500</v>
      </c>
      <c r="H24" s="158">
        <f>C24*6.25%+C24</f>
        <v>45156.25</v>
      </c>
      <c r="I24" s="386">
        <f t="shared" si="13"/>
        <v>47978.515625</v>
      </c>
    </row>
    <row r="25" spans="1:9" s="272" customFormat="1" x14ac:dyDescent="0.25">
      <c r="A25" s="253" t="s">
        <v>60</v>
      </c>
      <c r="B25" s="158">
        <v>300000</v>
      </c>
      <c r="C25" s="158">
        <f t="shared" si="13"/>
        <v>318750</v>
      </c>
      <c r="D25" s="239">
        <v>3650</v>
      </c>
      <c r="E25" s="239">
        <f t="shared" si="11"/>
        <v>315100</v>
      </c>
      <c r="F25" s="879">
        <f>-318750*0.5</f>
        <v>-159375</v>
      </c>
      <c r="G25" s="158">
        <f t="shared" si="12"/>
        <v>159375</v>
      </c>
      <c r="H25" s="158">
        <f>C25*6.25%+C25</f>
        <v>338671.875</v>
      </c>
      <c r="I25" s="386">
        <f t="shared" si="13"/>
        <v>359838.8671875</v>
      </c>
    </row>
    <row r="26" spans="1:9" s="252" customFormat="1" x14ac:dyDescent="0.25">
      <c r="A26" s="271" t="s">
        <v>300</v>
      </c>
      <c r="B26" s="158">
        <v>150000</v>
      </c>
      <c r="C26" s="158">
        <v>158100</v>
      </c>
      <c r="D26" s="239"/>
      <c r="E26" s="239">
        <f t="shared" si="11"/>
        <v>158100</v>
      </c>
      <c r="F26" s="813">
        <v>100000</v>
      </c>
      <c r="G26" s="158">
        <f t="shared" si="12"/>
        <v>258100</v>
      </c>
      <c r="H26" s="239">
        <v>166667</v>
      </c>
      <c r="I26" s="386">
        <v>200000</v>
      </c>
    </row>
    <row r="27" spans="1:9" s="252" customFormat="1" x14ac:dyDescent="0.25">
      <c r="A27" s="271" t="s">
        <v>730</v>
      </c>
      <c r="B27" s="158">
        <v>60000</v>
      </c>
      <c r="C27" s="158">
        <v>63240</v>
      </c>
      <c r="D27" s="239"/>
      <c r="E27" s="239">
        <f t="shared" si="11"/>
        <v>63240</v>
      </c>
      <c r="F27" s="239">
        <v>0</v>
      </c>
      <c r="G27" s="158">
        <f t="shared" si="12"/>
        <v>63240</v>
      </c>
      <c r="H27" s="158">
        <v>66655</v>
      </c>
      <c r="I27" s="386">
        <v>80000</v>
      </c>
    </row>
    <row r="28" spans="1:9" s="252" customFormat="1" x14ac:dyDescent="0.25">
      <c r="A28" s="271" t="s">
        <v>301</v>
      </c>
      <c r="B28" s="158">
        <v>50000</v>
      </c>
      <c r="C28" s="158">
        <v>150000</v>
      </c>
      <c r="D28" s="239"/>
      <c r="E28" s="239">
        <f t="shared" si="11"/>
        <v>150000</v>
      </c>
      <c r="F28" s="813">
        <v>100000</v>
      </c>
      <c r="G28" s="158">
        <f t="shared" si="12"/>
        <v>250000</v>
      </c>
      <c r="H28" s="158">
        <v>158100</v>
      </c>
      <c r="I28" s="386">
        <v>180000</v>
      </c>
    </row>
    <row r="29" spans="1:9" s="272" customFormat="1" x14ac:dyDescent="0.25">
      <c r="A29" s="253" t="s">
        <v>734</v>
      </c>
      <c r="B29" s="254">
        <v>100000</v>
      </c>
      <c r="C29" s="158">
        <v>105400</v>
      </c>
      <c r="D29" s="239">
        <v>28500</v>
      </c>
      <c r="E29" s="239">
        <f t="shared" si="11"/>
        <v>76900</v>
      </c>
      <c r="F29" s="239">
        <v>0</v>
      </c>
      <c r="G29" s="158">
        <f t="shared" si="12"/>
        <v>105400</v>
      </c>
      <c r="H29" s="158">
        <v>111092</v>
      </c>
      <c r="I29" s="386">
        <v>120000</v>
      </c>
    </row>
    <row r="30" spans="1:9" s="272" customFormat="1" x14ac:dyDescent="0.25">
      <c r="A30" s="253" t="s">
        <v>731</v>
      </c>
      <c r="B30" s="254"/>
      <c r="C30" s="158">
        <v>1000000</v>
      </c>
      <c r="D30" s="239"/>
      <c r="E30" s="239">
        <f t="shared" si="11"/>
        <v>1000000</v>
      </c>
      <c r="F30" s="239">
        <v>-1000000</v>
      </c>
      <c r="G30" s="158">
        <f t="shared" si="12"/>
        <v>0</v>
      </c>
      <c r="H30" s="239">
        <v>500000</v>
      </c>
      <c r="I30" s="386">
        <v>10000000</v>
      </c>
    </row>
    <row r="31" spans="1:9" s="272" customFormat="1" x14ac:dyDescent="0.25">
      <c r="A31" s="253" t="s">
        <v>416</v>
      </c>
      <c r="B31" s="158">
        <v>0</v>
      </c>
      <c r="C31" s="158">
        <v>800000</v>
      </c>
      <c r="D31" s="239"/>
      <c r="E31" s="239">
        <f t="shared" si="11"/>
        <v>800000</v>
      </c>
      <c r="F31" s="239">
        <v>-800000</v>
      </c>
      <c r="G31" s="158">
        <f t="shared" si="12"/>
        <v>0</v>
      </c>
      <c r="H31" s="239">
        <v>100000</v>
      </c>
      <c r="I31" s="386">
        <v>0</v>
      </c>
    </row>
    <row r="32" spans="1:9" s="272" customFormat="1" x14ac:dyDescent="0.25">
      <c r="A32" s="253" t="s">
        <v>599</v>
      </c>
      <c r="B32" s="254">
        <v>50000</v>
      </c>
      <c r="C32" s="254">
        <v>50000</v>
      </c>
      <c r="D32" s="335">
        <v>190000</v>
      </c>
      <c r="E32" s="239">
        <f t="shared" si="11"/>
        <v>-140000</v>
      </c>
      <c r="F32" s="813">
        <v>140000</v>
      </c>
      <c r="G32" s="158">
        <f t="shared" si="12"/>
        <v>190000</v>
      </c>
      <c r="H32" s="335">
        <v>110000</v>
      </c>
      <c r="I32" s="386">
        <v>120000</v>
      </c>
    </row>
    <row r="33" spans="1:9" s="272" customFormat="1" x14ac:dyDescent="0.25">
      <c r="A33" s="253" t="s">
        <v>733</v>
      </c>
      <c r="B33" s="254">
        <v>0</v>
      </c>
      <c r="C33" s="254">
        <v>120000</v>
      </c>
      <c r="D33" s="335"/>
      <c r="E33" s="239">
        <f t="shared" si="11"/>
        <v>120000</v>
      </c>
      <c r="F33" s="813">
        <v>120000</v>
      </c>
      <c r="G33" s="158">
        <f t="shared" si="12"/>
        <v>240000</v>
      </c>
      <c r="H33" s="335">
        <v>200000</v>
      </c>
      <c r="I33" s="386">
        <v>250000</v>
      </c>
    </row>
    <row r="34" spans="1:9" s="272" customFormat="1" x14ac:dyDescent="0.25">
      <c r="A34" s="253" t="s">
        <v>303</v>
      </c>
      <c r="B34" s="254">
        <v>3292000</v>
      </c>
      <c r="C34" s="254">
        <v>2469768</v>
      </c>
      <c r="D34" s="335">
        <v>199200</v>
      </c>
      <c r="E34" s="239">
        <f t="shared" si="11"/>
        <v>2270568</v>
      </c>
      <c r="F34" s="239">
        <v>0</v>
      </c>
      <c r="G34" s="158">
        <f t="shared" si="12"/>
        <v>2469768</v>
      </c>
      <c r="H34" s="254">
        <v>3469768</v>
      </c>
      <c r="I34" s="255">
        <v>3500000</v>
      </c>
    </row>
    <row r="35" spans="1:9" s="272" customFormat="1" x14ac:dyDescent="0.25">
      <c r="A35" s="253" t="s">
        <v>736</v>
      </c>
      <c r="B35" s="254"/>
      <c r="C35" s="254">
        <v>600000</v>
      </c>
      <c r="D35" s="335"/>
      <c r="E35" s="239">
        <f t="shared" si="11"/>
        <v>600000</v>
      </c>
      <c r="F35" s="239">
        <v>-600000</v>
      </c>
      <c r="G35" s="158">
        <f t="shared" si="12"/>
        <v>0</v>
      </c>
      <c r="H35" s="335">
        <v>100000</v>
      </c>
      <c r="I35" s="255">
        <v>0</v>
      </c>
    </row>
    <row r="36" spans="1:9" s="272" customFormat="1" x14ac:dyDescent="0.25">
      <c r="A36" s="253" t="s">
        <v>600</v>
      </c>
      <c r="B36" s="254">
        <v>0</v>
      </c>
      <c r="C36" s="254">
        <v>50000</v>
      </c>
      <c r="D36" s="335"/>
      <c r="E36" s="239">
        <f t="shared" si="11"/>
        <v>50000</v>
      </c>
      <c r="F36" s="813">
        <v>50000</v>
      </c>
      <c r="G36" s="158">
        <f t="shared" si="12"/>
        <v>100000</v>
      </c>
      <c r="H36" s="335">
        <v>50000</v>
      </c>
      <c r="I36" s="386">
        <v>55000</v>
      </c>
    </row>
    <row r="37" spans="1:9" s="272" customFormat="1" x14ac:dyDescent="0.25">
      <c r="A37" s="253" t="s">
        <v>608</v>
      </c>
      <c r="B37" s="254">
        <v>0</v>
      </c>
      <c r="C37" s="254">
        <v>60000</v>
      </c>
      <c r="D37" s="335"/>
      <c r="E37" s="239">
        <f t="shared" si="11"/>
        <v>60000</v>
      </c>
      <c r="F37" s="813">
        <v>60000</v>
      </c>
      <c r="G37" s="158">
        <f t="shared" si="12"/>
        <v>120000</v>
      </c>
      <c r="H37" s="335">
        <v>65000</v>
      </c>
      <c r="I37" s="386">
        <v>70000</v>
      </c>
    </row>
    <row r="38" spans="1:9" s="272" customFormat="1" x14ac:dyDescent="0.25">
      <c r="A38" s="424" t="s">
        <v>42</v>
      </c>
      <c r="B38" s="246">
        <f>SUM(B24:B37)</f>
        <v>4042000</v>
      </c>
      <c r="C38" s="246">
        <f>SUM(C23:C37)</f>
        <v>6142076.5625</v>
      </c>
      <c r="D38" s="246">
        <f>SUM(D23:D37)</f>
        <v>530707</v>
      </c>
      <c r="E38" s="246">
        <f>SUM(E23:E37)</f>
        <v>5611369.5625</v>
      </c>
      <c r="F38" s="246">
        <f t="shared" ref="F38:G38" si="14">SUM(F23:F37)</f>
        <v>-1954375</v>
      </c>
      <c r="G38" s="246">
        <f t="shared" si="14"/>
        <v>4187701.5625</v>
      </c>
      <c r="H38" s="246">
        <f>SUM(H23:H37)</f>
        <v>5645073.59765625</v>
      </c>
      <c r="I38" s="246">
        <f>SUM(I23:I37)</f>
        <v>15157028.572509766</v>
      </c>
    </row>
    <row r="39" spans="1:9" s="272" customFormat="1" x14ac:dyDescent="0.25">
      <c r="A39" s="425"/>
      <c r="B39" s="158"/>
      <c r="C39" s="158"/>
      <c r="D39" s="239"/>
      <c r="E39" s="239"/>
      <c r="F39" s="239"/>
      <c r="G39" s="239"/>
      <c r="H39" s="239"/>
      <c r="I39" s="386">
        <f>H39*6.9%+H39</f>
        <v>0</v>
      </c>
    </row>
    <row r="40" spans="1:9" s="479" customFormat="1" ht="15.75" thickBot="1" x14ac:dyDescent="0.3">
      <c r="A40" s="426" t="s">
        <v>44</v>
      </c>
      <c r="B40" s="392">
        <f>B9+B16+B38+B20</f>
        <v>30861382</v>
      </c>
      <c r="C40" s="392">
        <f>SUM(C9,C16,C20,C38)</f>
        <v>35674730.375</v>
      </c>
      <c r="D40" s="392">
        <f>SUM(D9,D16,D20,D38)</f>
        <v>14450361</v>
      </c>
      <c r="E40" s="392">
        <f>SUM(E9,E16,E20,E38)</f>
        <v>21224369.375</v>
      </c>
      <c r="F40" s="392">
        <f t="shared" ref="F40:G40" si="15">SUM(F9,F16,F20,F38)</f>
        <v>-2750000</v>
      </c>
      <c r="G40" s="392">
        <f t="shared" si="15"/>
        <v>32924730.375</v>
      </c>
      <c r="H40" s="392">
        <f>SUM(H9,H16,H20,H38)</f>
        <v>37042268.2734375</v>
      </c>
      <c r="I40" s="392">
        <f>SUM(I9,I16,I20,I38)</f>
        <v>48589832.964123048</v>
      </c>
    </row>
    <row r="41" spans="1:9" x14ac:dyDescent="0.25">
      <c r="A41" s="532"/>
    </row>
    <row r="43" spans="1:9" x14ac:dyDescent="0.25">
      <c r="B43" s="247">
        <f>B41-B42</f>
        <v>0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&amp;A&amp;RPage &amp;P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8"/>
  <sheetViews>
    <sheetView view="pageBreakPreview" zoomScale="60" zoomScaleNormal="100" workbookViewId="0">
      <selection activeCell="F21" sqref="F21"/>
    </sheetView>
  </sheetViews>
  <sheetFormatPr defaultColWidth="9.28515625" defaultRowHeight="15" x14ac:dyDescent="0.25"/>
  <cols>
    <col min="1" max="1" width="37.140625" style="352" bestFit="1" customWidth="1"/>
    <col min="2" max="2" width="13.28515625" style="152" hidden="1" customWidth="1"/>
    <col min="3" max="7" width="17" style="152" customWidth="1"/>
    <col min="8" max="8" width="16.42578125" style="152" customWidth="1"/>
    <col min="9" max="9" width="12.42578125" style="97" customWidth="1"/>
    <col min="10" max="16384" width="9.28515625" style="97"/>
  </cols>
  <sheetData>
    <row r="1" spans="1:9" ht="18.75" x14ac:dyDescent="0.3">
      <c r="A1" s="154" t="s">
        <v>476</v>
      </c>
      <c r="B1" s="149"/>
      <c r="C1" s="149"/>
      <c r="D1" s="149"/>
      <c r="E1" s="149"/>
      <c r="F1" s="149"/>
      <c r="G1" s="149"/>
      <c r="H1" s="149"/>
    </row>
    <row r="2" spans="1:9" ht="16.5" thickBot="1" x14ac:dyDescent="0.3">
      <c r="A2" s="536"/>
      <c r="B2" s="201"/>
      <c r="C2" s="201"/>
      <c r="D2" s="201"/>
      <c r="E2" s="201"/>
      <c r="F2" s="201"/>
      <c r="G2" s="201"/>
      <c r="H2" s="201"/>
    </row>
    <row r="3" spans="1:9" s="93" customFormat="1" ht="41.25" customHeight="1" thickBot="1" x14ac:dyDescent="0.3">
      <c r="A3" s="517" t="s">
        <v>39</v>
      </c>
      <c r="B3" s="383" t="s">
        <v>393</v>
      </c>
      <c r="C3" s="383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3" t="s">
        <v>556</v>
      </c>
      <c r="I3" s="402" t="s">
        <v>644</v>
      </c>
    </row>
    <row r="4" spans="1:9" s="93" customFormat="1" x14ac:dyDescent="0.25">
      <c r="A4" s="253" t="s">
        <v>2</v>
      </c>
      <c r="B4" s="91">
        <v>927587</v>
      </c>
      <c r="C4" s="91">
        <f>B4*6.25%+B4</f>
        <v>985561.1875</v>
      </c>
      <c r="D4" s="176">
        <v>213341</v>
      </c>
      <c r="E4" s="176">
        <f>C4-D4</f>
        <v>772220.1875</v>
      </c>
      <c r="F4" s="239">
        <v>0</v>
      </c>
      <c r="G4" s="91">
        <f>C4+F4</f>
        <v>985561.1875</v>
      </c>
      <c r="H4" s="91">
        <f>C4*6.25%+C4</f>
        <v>1047158.76171875</v>
      </c>
      <c r="I4" s="404">
        <f>H4*6.25%+H4</f>
        <v>1112606.1843261719</v>
      </c>
    </row>
    <row r="5" spans="1:9" s="93" customFormat="1" x14ac:dyDescent="0.25">
      <c r="A5" s="253" t="s">
        <v>3</v>
      </c>
      <c r="B5" s="91">
        <v>77299</v>
      </c>
      <c r="C5" s="91">
        <f t="shared" ref="C5:I8" si="0">B5*6.25%+B5</f>
        <v>82130.1875</v>
      </c>
      <c r="D5" s="176"/>
      <c r="E5" s="176">
        <f t="shared" ref="E5:E8" si="1">C5-D5</f>
        <v>82130.1875</v>
      </c>
      <c r="F5" s="239">
        <v>0</v>
      </c>
      <c r="G5" s="91">
        <f t="shared" ref="G5:G8" si="2">C5+F5</f>
        <v>82130.1875</v>
      </c>
      <c r="H5" s="91">
        <f>C5*6.25%+C5</f>
        <v>87263.32421875</v>
      </c>
      <c r="I5" s="404">
        <f t="shared" si="0"/>
        <v>92717.281982421875</v>
      </c>
    </row>
    <row r="6" spans="1:9" s="93" customFormat="1" x14ac:dyDescent="0.25">
      <c r="A6" s="253" t="s">
        <v>4</v>
      </c>
      <c r="B6" s="91">
        <v>19200</v>
      </c>
      <c r="C6" s="91">
        <f t="shared" si="0"/>
        <v>20400</v>
      </c>
      <c r="D6" s="176">
        <v>5787</v>
      </c>
      <c r="E6" s="176">
        <f t="shared" si="1"/>
        <v>14613</v>
      </c>
      <c r="F6" s="239">
        <v>0</v>
      </c>
      <c r="G6" s="91">
        <f t="shared" si="2"/>
        <v>20400</v>
      </c>
      <c r="H6" s="91">
        <f>C6*6.25%+C6</f>
        <v>21675</v>
      </c>
      <c r="I6" s="404">
        <f t="shared" si="0"/>
        <v>23029.6875</v>
      </c>
    </row>
    <row r="7" spans="1:9" s="93" customFormat="1" x14ac:dyDescent="0.25">
      <c r="A7" s="253" t="s">
        <v>173</v>
      </c>
      <c r="B7" s="91"/>
      <c r="C7" s="91">
        <v>63330</v>
      </c>
      <c r="D7" s="176"/>
      <c r="E7" s="176">
        <f t="shared" si="1"/>
        <v>63330</v>
      </c>
      <c r="F7" s="239">
        <v>0</v>
      </c>
      <c r="G7" s="91">
        <f t="shared" si="2"/>
        <v>63330</v>
      </c>
      <c r="H7" s="91">
        <f>C7*6.25%+C7</f>
        <v>67288.125</v>
      </c>
      <c r="I7" s="404">
        <f>H7*6.25%+H7</f>
        <v>71493.6328125</v>
      </c>
    </row>
    <row r="8" spans="1:9" s="93" customFormat="1" x14ac:dyDescent="0.25">
      <c r="A8" s="253" t="s">
        <v>5</v>
      </c>
      <c r="B8" s="91">
        <v>237043</v>
      </c>
      <c r="C8" s="91">
        <f t="shared" si="0"/>
        <v>251858.1875</v>
      </c>
      <c r="D8" s="176"/>
      <c r="E8" s="176">
        <f t="shared" si="1"/>
        <v>251858.1875</v>
      </c>
      <c r="F8" s="239">
        <v>0</v>
      </c>
      <c r="G8" s="91">
        <f t="shared" si="2"/>
        <v>251858.1875</v>
      </c>
      <c r="H8" s="91">
        <f>C8*6.25%+C8</f>
        <v>267599.32421875</v>
      </c>
      <c r="I8" s="404">
        <f t="shared" si="0"/>
        <v>284324.28198242188</v>
      </c>
    </row>
    <row r="9" spans="1:9" s="167" customFormat="1" x14ac:dyDescent="0.25">
      <c r="A9" s="343" t="s">
        <v>40</v>
      </c>
      <c r="B9" s="89">
        <f>SUM(B4:B8)</f>
        <v>1261129</v>
      </c>
      <c r="C9" s="89">
        <f>SUM(C4:C8)</f>
        <v>1403279.5625</v>
      </c>
      <c r="D9" s="89">
        <f>SUM(D4:D8)</f>
        <v>219128</v>
      </c>
      <c r="E9" s="89">
        <f>SUM(E4:E8)</f>
        <v>1184151.5625</v>
      </c>
      <c r="F9" s="89">
        <f t="shared" ref="F9:G9" si="3">SUM(F4:F8)</f>
        <v>0</v>
      </c>
      <c r="G9" s="89">
        <f t="shared" si="3"/>
        <v>1403279.5625</v>
      </c>
      <c r="H9" s="89">
        <f>SUM(H4:H8)</f>
        <v>1490984.53515625</v>
      </c>
      <c r="I9" s="399">
        <f>SUM(I4:I8)</f>
        <v>1584171.0686035156</v>
      </c>
    </row>
    <row r="10" spans="1:9" s="93" customFormat="1" x14ac:dyDescent="0.25">
      <c r="A10" s="253"/>
      <c r="B10" s="91"/>
      <c r="C10" s="91"/>
      <c r="D10" s="91"/>
      <c r="E10" s="91"/>
      <c r="F10" s="91"/>
      <c r="G10" s="91"/>
      <c r="H10" s="91"/>
      <c r="I10" s="404">
        <f>H10*6.9%+H10</f>
        <v>0</v>
      </c>
    </row>
    <row r="11" spans="1:9" s="93" customFormat="1" x14ac:dyDescent="0.25">
      <c r="A11" s="253" t="s">
        <v>6</v>
      </c>
      <c r="B11" s="91">
        <v>92904</v>
      </c>
      <c r="C11" s="91">
        <f>B11*6.25%+B11</f>
        <v>98710.5</v>
      </c>
      <c r="D11" s="176">
        <v>18101</v>
      </c>
      <c r="E11" s="176">
        <f t="shared" ref="E11:E14" si="4">C11-D11</f>
        <v>80609.5</v>
      </c>
      <c r="F11" s="239">
        <v>0</v>
      </c>
      <c r="G11" s="91">
        <f t="shared" ref="G11:G15" si="5">C11+F11</f>
        <v>98710.5</v>
      </c>
      <c r="H11" s="91">
        <f>C11*6.25%+C11</f>
        <v>104879.90625</v>
      </c>
      <c r="I11" s="404">
        <f>H11*6.25%+H11</f>
        <v>111434.900390625</v>
      </c>
    </row>
    <row r="12" spans="1:9" s="93" customFormat="1" x14ac:dyDescent="0.25">
      <c r="A12" s="253" t="s">
        <v>7</v>
      </c>
      <c r="B12" s="91">
        <v>9276</v>
      </c>
      <c r="C12" s="91">
        <f t="shared" ref="C12:I13" si="6">B12*6.25%+B12</f>
        <v>9855.75</v>
      </c>
      <c r="D12" s="176">
        <v>892</v>
      </c>
      <c r="E12" s="176">
        <f t="shared" si="4"/>
        <v>8963.75</v>
      </c>
      <c r="F12" s="239">
        <v>0</v>
      </c>
      <c r="G12" s="91">
        <f t="shared" si="5"/>
        <v>9855.75</v>
      </c>
      <c r="H12" s="91">
        <f>C12*6.25%+C12</f>
        <v>10471.734375</v>
      </c>
      <c r="I12" s="404">
        <f t="shared" si="6"/>
        <v>11126.2177734375</v>
      </c>
    </row>
    <row r="13" spans="1:9" s="93" customFormat="1" x14ac:dyDescent="0.25">
      <c r="A13" s="253" t="s">
        <v>53</v>
      </c>
      <c r="B13" s="91">
        <v>204069</v>
      </c>
      <c r="C13" s="91">
        <f t="shared" si="6"/>
        <v>216823.3125</v>
      </c>
      <c r="D13" s="176">
        <v>42316</v>
      </c>
      <c r="E13" s="176">
        <f t="shared" si="4"/>
        <v>174507.3125</v>
      </c>
      <c r="F13" s="239">
        <v>0</v>
      </c>
      <c r="G13" s="91">
        <f t="shared" si="5"/>
        <v>216823.3125</v>
      </c>
      <c r="H13" s="91">
        <f>C13*6.25%+C13</f>
        <v>230374.76953125</v>
      </c>
      <c r="I13" s="404">
        <f t="shared" si="6"/>
        <v>244773.19262695313</v>
      </c>
    </row>
    <row r="14" spans="1:9" s="93" customFormat="1" x14ac:dyDescent="0.25">
      <c r="A14" s="253" t="s">
        <v>437</v>
      </c>
      <c r="B14" s="91"/>
      <c r="C14" s="91">
        <v>6600</v>
      </c>
      <c r="D14" s="176"/>
      <c r="E14" s="176">
        <f t="shared" si="4"/>
        <v>6600</v>
      </c>
      <c r="F14" s="239">
        <v>-6600</v>
      </c>
      <c r="G14" s="91">
        <f t="shared" si="5"/>
        <v>0</v>
      </c>
      <c r="H14" s="91">
        <v>7055.4</v>
      </c>
      <c r="I14" s="404">
        <v>7542.2226000000001</v>
      </c>
    </row>
    <row r="15" spans="1:9" s="93" customFormat="1" x14ac:dyDescent="0.25">
      <c r="A15" s="785" t="s">
        <v>872</v>
      </c>
      <c r="B15" s="91">
        <v>9276</v>
      </c>
      <c r="F15" s="93">
        <v>108</v>
      </c>
      <c r="G15" s="91">
        <f t="shared" si="5"/>
        <v>108</v>
      </c>
      <c r="H15" s="93">
        <v>0</v>
      </c>
      <c r="I15" s="93">
        <v>0</v>
      </c>
    </row>
    <row r="16" spans="1:9" s="167" customFormat="1" x14ac:dyDescent="0.25">
      <c r="A16" s="343" t="s">
        <v>41</v>
      </c>
      <c r="B16" s="89">
        <f>SUM(B11:B15)</f>
        <v>315525</v>
      </c>
      <c r="C16" s="89">
        <f>SUM(C11:C15)</f>
        <v>331989.5625</v>
      </c>
      <c r="D16" s="89">
        <f>SUM(D11:D15)</f>
        <v>61309</v>
      </c>
      <c r="E16" s="89">
        <f>SUM(E11:E15)</f>
        <v>270680.5625</v>
      </c>
      <c r="F16" s="89">
        <f t="shared" ref="F16:G16" si="7">SUM(F11:F15)</f>
        <v>-6492</v>
      </c>
      <c r="G16" s="89">
        <f t="shared" si="7"/>
        <v>325497.5625</v>
      </c>
      <c r="H16" s="89">
        <f>SUM(H11:H15)</f>
        <v>352781.81015625002</v>
      </c>
      <c r="I16" s="89">
        <f>SUM(I11:I15)</f>
        <v>374876.5333910156</v>
      </c>
    </row>
    <row r="17" spans="1:9" s="167" customFormat="1" x14ac:dyDescent="0.25">
      <c r="A17" s="531"/>
      <c r="B17" s="89"/>
      <c r="C17" s="89"/>
      <c r="D17" s="89"/>
      <c r="E17" s="89"/>
      <c r="F17" s="89"/>
      <c r="G17" s="89"/>
      <c r="H17" s="89"/>
      <c r="I17" s="399"/>
    </row>
    <row r="18" spans="1:9" s="167" customFormat="1" x14ac:dyDescent="0.25">
      <c r="A18" s="531"/>
      <c r="B18" s="89"/>
      <c r="C18" s="89"/>
      <c r="D18" s="89"/>
      <c r="E18" s="89"/>
      <c r="F18" s="89"/>
      <c r="G18" s="89"/>
      <c r="H18" s="89"/>
      <c r="I18" s="399"/>
    </row>
    <row r="19" spans="1:9" s="167" customFormat="1" x14ac:dyDescent="0.25">
      <c r="A19" s="253" t="s">
        <v>9</v>
      </c>
      <c r="B19" s="89"/>
      <c r="C19" s="91">
        <f>B15*6.25%+B15</f>
        <v>9855.75</v>
      </c>
      <c r="D19" s="176">
        <v>2262</v>
      </c>
      <c r="E19" s="176">
        <f t="shared" ref="E19:E24" si="8">C19-D19</f>
        <v>7593.75</v>
      </c>
      <c r="F19" s="239">
        <v>0</v>
      </c>
      <c r="G19" s="91">
        <f t="shared" ref="G19:G24" si="9">C19+F19</f>
        <v>9855.75</v>
      </c>
      <c r="H19" s="91">
        <f>C19*6.25%+C19</f>
        <v>10471.734375</v>
      </c>
      <c r="I19" s="404">
        <f>H19*6.25%+H19</f>
        <v>11126.2177734375</v>
      </c>
    </row>
    <row r="20" spans="1:9" s="93" customFormat="1" x14ac:dyDescent="0.25">
      <c r="A20" s="253" t="s">
        <v>59</v>
      </c>
      <c r="B20" s="91">
        <v>2500</v>
      </c>
      <c r="C20" s="91">
        <f t="shared" ref="C20:I21" si="10">B20*6.25%+B20</f>
        <v>2656.25</v>
      </c>
      <c r="D20" s="176"/>
      <c r="E20" s="176">
        <f t="shared" si="8"/>
        <v>2656.25</v>
      </c>
      <c r="F20" s="879">
        <f>-2656</f>
        <v>-2656</v>
      </c>
      <c r="G20" s="91">
        <f t="shared" si="9"/>
        <v>0.25</v>
      </c>
      <c r="H20" s="91">
        <f>C20*6.25%+C20</f>
        <v>2822.265625</v>
      </c>
      <c r="I20" s="404">
        <f t="shared" si="10"/>
        <v>2998.6572265625</v>
      </c>
    </row>
    <row r="21" spans="1:9" s="93" customFormat="1" x14ac:dyDescent="0.25">
      <c r="A21" s="253" t="s">
        <v>60</v>
      </c>
      <c r="B21" s="91">
        <v>50000</v>
      </c>
      <c r="C21" s="91">
        <f t="shared" si="10"/>
        <v>53125</v>
      </c>
      <c r="D21" s="176"/>
      <c r="E21" s="176">
        <f t="shared" si="8"/>
        <v>53125</v>
      </c>
      <c r="F21" s="879">
        <v>-53125</v>
      </c>
      <c r="G21" s="91">
        <f t="shared" si="9"/>
        <v>0</v>
      </c>
      <c r="H21" s="91">
        <f>C21*6.25%+C21</f>
        <v>56445.3125</v>
      </c>
      <c r="I21" s="404">
        <f t="shared" si="10"/>
        <v>59973.14453125</v>
      </c>
    </row>
    <row r="22" spans="1:9" s="93" customFormat="1" hidden="1" x14ac:dyDescent="0.25">
      <c r="A22" s="253" t="s">
        <v>10</v>
      </c>
      <c r="B22" s="91"/>
      <c r="C22" s="91">
        <v>0</v>
      </c>
      <c r="D22" s="176"/>
      <c r="E22" s="176">
        <f t="shared" si="8"/>
        <v>0</v>
      </c>
      <c r="F22" s="239">
        <v>0</v>
      </c>
      <c r="G22" s="91">
        <f t="shared" si="9"/>
        <v>0</v>
      </c>
      <c r="H22" s="91">
        <v>0</v>
      </c>
      <c r="I22" s="404">
        <v>0</v>
      </c>
    </row>
    <row r="23" spans="1:9" s="93" customFormat="1" x14ac:dyDescent="0.25">
      <c r="A23" s="253" t="s">
        <v>771</v>
      </c>
      <c r="B23" s="91"/>
      <c r="C23" s="91">
        <v>60000</v>
      </c>
      <c r="D23" s="176"/>
      <c r="E23" s="176">
        <f t="shared" si="8"/>
        <v>60000</v>
      </c>
      <c r="F23" s="239">
        <v>0</v>
      </c>
      <c r="G23" s="91">
        <f t="shared" si="9"/>
        <v>60000</v>
      </c>
      <c r="H23" s="91">
        <v>70000</v>
      </c>
      <c r="I23" s="404">
        <v>80000</v>
      </c>
    </row>
    <row r="24" spans="1:9" s="93" customFormat="1" x14ac:dyDescent="0.25">
      <c r="A24" s="253" t="s">
        <v>772</v>
      </c>
      <c r="B24" s="91"/>
      <c r="C24" s="91">
        <v>800000</v>
      </c>
      <c r="D24" s="176"/>
      <c r="E24" s="176">
        <f t="shared" si="8"/>
        <v>800000</v>
      </c>
      <c r="F24" s="239">
        <v>-800000</v>
      </c>
      <c r="G24" s="91">
        <f t="shared" si="9"/>
        <v>0</v>
      </c>
      <c r="H24" s="91">
        <v>1100000</v>
      </c>
      <c r="I24" s="404">
        <v>1300000</v>
      </c>
    </row>
    <row r="25" spans="1:9" s="93" customFormat="1" x14ac:dyDescent="0.25">
      <c r="A25" s="343" t="s">
        <v>42</v>
      </c>
      <c r="B25" s="89">
        <f>SUM(B20:B22)</f>
        <v>52500</v>
      </c>
      <c r="C25" s="89">
        <f>SUM(C19:C24)</f>
        <v>925637</v>
      </c>
      <c r="D25" s="89">
        <f>SUM(D19:D24)</f>
        <v>2262</v>
      </c>
      <c r="E25" s="89">
        <f>SUM(E19:E24)</f>
        <v>923375</v>
      </c>
      <c r="F25" s="89">
        <f t="shared" ref="F25:G25" si="11">SUM(F19:F24)</f>
        <v>-855781</v>
      </c>
      <c r="G25" s="89">
        <f t="shared" si="11"/>
        <v>69856</v>
      </c>
      <c r="H25" s="89">
        <f>SUM(H19:H24)</f>
        <v>1239739.3125</v>
      </c>
      <c r="I25" s="89">
        <f>SUM(I19:I24)</f>
        <v>1454098.01953125</v>
      </c>
    </row>
    <row r="26" spans="1:9" s="93" customFormat="1" x14ac:dyDescent="0.25">
      <c r="A26" s="388"/>
      <c r="B26" s="91"/>
      <c r="C26" s="91"/>
      <c r="D26" s="91"/>
      <c r="E26" s="91"/>
      <c r="F26" s="91"/>
      <c r="G26" s="91"/>
      <c r="H26" s="91"/>
      <c r="I26" s="404">
        <f>H26*6.9%+H26</f>
        <v>0</v>
      </c>
    </row>
    <row r="27" spans="1:9" s="93" customFormat="1" ht="15.75" thickBot="1" x14ac:dyDescent="0.3">
      <c r="A27" s="390" t="s">
        <v>44</v>
      </c>
      <c r="B27" s="391">
        <f>B9+B16+B25</f>
        <v>1629154</v>
      </c>
      <c r="C27" s="391">
        <f>SUM(C25,C16,C9)</f>
        <v>2660906.125</v>
      </c>
      <c r="D27" s="391">
        <f>SUM(D25,D16,D9)</f>
        <v>282699</v>
      </c>
      <c r="E27" s="391">
        <f>SUM(E25,E16,E9)</f>
        <v>2378207.125</v>
      </c>
      <c r="F27" s="391">
        <f t="shared" ref="F27:G27" si="12">SUM(F25,F16,F9)</f>
        <v>-862273</v>
      </c>
      <c r="G27" s="391">
        <f t="shared" si="12"/>
        <v>1798633.125</v>
      </c>
      <c r="H27" s="391">
        <f>SUM(H25,H16,H9)</f>
        <v>3083505.6578124999</v>
      </c>
      <c r="I27" s="391">
        <f>SUM(I25,I16,I9)</f>
        <v>3413145.6215257812</v>
      </c>
    </row>
    <row r="28" spans="1:9" x14ac:dyDescent="0.25">
      <c r="B28" s="150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>
    <oddFooter>&amp;C&amp;A&amp;RPage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38"/>
  <sheetViews>
    <sheetView view="pageBreakPreview" topLeftCell="A21" zoomScale="60" zoomScaleNormal="100" workbookViewId="0">
      <selection activeCell="G33" sqref="G33"/>
    </sheetView>
  </sheetViews>
  <sheetFormatPr defaultColWidth="9.28515625" defaultRowHeight="15" x14ac:dyDescent="0.25"/>
  <cols>
    <col min="1" max="1" width="45.85546875" style="97" customWidth="1"/>
    <col min="2" max="2" width="14.28515625" style="212" hidden="1" customWidth="1"/>
    <col min="3" max="7" width="17.28515625" style="212" customWidth="1"/>
    <col min="8" max="8" width="16.42578125" style="212" customWidth="1"/>
    <col min="9" max="9" width="16.42578125" style="97" customWidth="1"/>
    <col min="10" max="16384" width="9.28515625" style="97"/>
  </cols>
  <sheetData>
    <row r="1" spans="1:9" ht="18.75" customHeight="1" x14ac:dyDescent="0.25"/>
    <row r="2" spans="1:9" ht="18.75" x14ac:dyDescent="0.3">
      <c r="A2" s="154" t="s">
        <v>477</v>
      </c>
      <c r="B2" s="213"/>
      <c r="C2" s="213"/>
      <c r="D2" s="213"/>
      <c r="E2" s="213"/>
      <c r="F2" s="213"/>
      <c r="G2" s="213"/>
      <c r="H2" s="213"/>
    </row>
    <row r="3" spans="1:9" ht="15.75" thickBot="1" x14ac:dyDescent="0.3"/>
    <row r="4" spans="1:9" s="93" customFormat="1" ht="34.5" customHeight="1" thickBot="1" x14ac:dyDescent="0.3">
      <c r="A4" s="382" t="s">
        <v>39</v>
      </c>
      <c r="B4" s="383" t="s">
        <v>393</v>
      </c>
      <c r="C4" s="383" t="s">
        <v>442</v>
      </c>
      <c r="D4" s="604" t="s">
        <v>800</v>
      </c>
      <c r="E4" s="715" t="s">
        <v>87</v>
      </c>
      <c r="F4" s="384" t="s">
        <v>164</v>
      </c>
      <c r="G4" s="605" t="s">
        <v>789</v>
      </c>
      <c r="H4" s="383" t="s">
        <v>556</v>
      </c>
      <c r="I4" s="402" t="s">
        <v>644</v>
      </c>
    </row>
    <row r="5" spans="1:9" s="93" customFormat="1" x14ac:dyDescent="0.25">
      <c r="A5" s="96" t="s">
        <v>2</v>
      </c>
      <c r="B5" s="91">
        <v>2718275</v>
      </c>
      <c r="C5" s="91">
        <f>B5*6.25%+B5</f>
        <v>2888167.1875</v>
      </c>
      <c r="D5" s="176">
        <v>1617082</v>
      </c>
      <c r="E5" s="176">
        <f>C5-D5</f>
        <v>1271085.1875</v>
      </c>
      <c r="F5" s="239">
        <v>250000</v>
      </c>
      <c r="G5" s="91">
        <f>C5+F5</f>
        <v>3138167.1875</v>
      </c>
      <c r="H5" s="91">
        <f t="shared" ref="H5:H10" si="0">C5*6.25%+C5</f>
        <v>3068677.63671875</v>
      </c>
      <c r="I5" s="404">
        <f>H5*6.25%+H5</f>
        <v>3260469.9890136719</v>
      </c>
    </row>
    <row r="6" spans="1:9" s="93" customFormat="1" x14ac:dyDescent="0.25">
      <c r="A6" s="96" t="s">
        <v>3</v>
      </c>
      <c r="B6" s="91">
        <v>226523</v>
      </c>
      <c r="C6" s="91">
        <f t="shared" ref="C6:I10" si="1">B6*6.25%+B6</f>
        <v>240680.6875</v>
      </c>
      <c r="D6" s="176">
        <v>193370</v>
      </c>
      <c r="E6" s="176">
        <f t="shared" ref="E6:E10" si="2">C6-D6</f>
        <v>47310.6875</v>
      </c>
      <c r="F6" s="239">
        <v>0</v>
      </c>
      <c r="G6" s="91">
        <f t="shared" ref="G6:G10" si="3">C6+F6</f>
        <v>240680.6875</v>
      </c>
      <c r="H6" s="91">
        <f t="shared" si="0"/>
        <v>255723.23046875</v>
      </c>
      <c r="I6" s="404">
        <f t="shared" si="1"/>
        <v>271705.93237304688</v>
      </c>
    </row>
    <row r="7" spans="1:9" s="93" customFormat="1" x14ac:dyDescent="0.25">
      <c r="A7" s="96" t="s">
        <v>4</v>
      </c>
      <c r="B7" s="91">
        <v>9600</v>
      </c>
      <c r="C7" s="91">
        <f t="shared" si="1"/>
        <v>10200</v>
      </c>
      <c r="D7" s="176">
        <v>5787</v>
      </c>
      <c r="E7" s="176">
        <f t="shared" si="2"/>
        <v>4413</v>
      </c>
      <c r="F7" s="239">
        <v>0</v>
      </c>
      <c r="G7" s="91">
        <f t="shared" si="3"/>
        <v>10200</v>
      </c>
      <c r="H7" s="91">
        <f t="shared" si="0"/>
        <v>10837.5</v>
      </c>
      <c r="I7" s="404">
        <f t="shared" si="1"/>
        <v>11514.84375</v>
      </c>
    </row>
    <row r="8" spans="1:9" s="93" customFormat="1" x14ac:dyDescent="0.25">
      <c r="A8" s="96" t="s">
        <v>5</v>
      </c>
      <c r="B8" s="91">
        <v>237043</v>
      </c>
      <c r="C8" s="91">
        <f t="shared" si="1"/>
        <v>251858.1875</v>
      </c>
      <c r="D8" s="176">
        <v>127485</v>
      </c>
      <c r="E8" s="176">
        <f t="shared" si="2"/>
        <v>124373.1875</v>
      </c>
      <c r="F8" s="239">
        <v>3000</v>
      </c>
      <c r="G8" s="91">
        <f t="shared" si="3"/>
        <v>254858.1875</v>
      </c>
      <c r="H8" s="91">
        <f t="shared" si="0"/>
        <v>267599.32421875</v>
      </c>
      <c r="I8" s="404">
        <f t="shared" si="1"/>
        <v>284324.28198242188</v>
      </c>
    </row>
    <row r="9" spans="1:9" s="93" customFormat="1" x14ac:dyDescent="0.25">
      <c r="A9" s="96" t="s">
        <v>173</v>
      </c>
      <c r="B9" s="91"/>
      <c r="C9" s="91">
        <v>172660</v>
      </c>
      <c r="D9" s="176">
        <v>162446</v>
      </c>
      <c r="E9" s="176">
        <f t="shared" si="2"/>
        <v>10214</v>
      </c>
      <c r="F9" s="239">
        <v>0</v>
      </c>
      <c r="G9" s="91">
        <f t="shared" si="3"/>
        <v>172660</v>
      </c>
      <c r="H9" s="91">
        <f t="shared" si="0"/>
        <v>183451.25</v>
      </c>
      <c r="I9" s="404">
        <f>H9*6.25%+H9</f>
        <v>194916.953125</v>
      </c>
    </row>
    <row r="10" spans="1:9" s="93" customFormat="1" x14ac:dyDescent="0.25">
      <c r="A10" s="96" t="s">
        <v>17</v>
      </c>
      <c r="B10" s="91">
        <v>48000</v>
      </c>
      <c r="C10" s="91">
        <f t="shared" si="1"/>
        <v>51000</v>
      </c>
      <c r="D10" s="176">
        <v>63489</v>
      </c>
      <c r="E10" s="176">
        <f t="shared" si="2"/>
        <v>-12489</v>
      </c>
      <c r="F10" s="239">
        <v>100000</v>
      </c>
      <c r="G10" s="91">
        <f t="shared" si="3"/>
        <v>151000</v>
      </c>
      <c r="H10" s="91">
        <f t="shared" si="0"/>
        <v>54187.5</v>
      </c>
      <c r="I10" s="404">
        <f t="shared" si="1"/>
        <v>57574.21875</v>
      </c>
    </row>
    <row r="11" spans="1:9" s="93" customFormat="1" x14ac:dyDescent="0.25">
      <c r="A11" s="343" t="s">
        <v>40</v>
      </c>
      <c r="B11" s="89">
        <f>SUM(B5:B10)</f>
        <v>3239441</v>
      </c>
      <c r="C11" s="209">
        <f>SUM(C5:C10)</f>
        <v>3614566.0625</v>
      </c>
      <c r="D11" s="209">
        <f>SUM(D5:D10)</f>
        <v>2169659</v>
      </c>
      <c r="E11" s="209">
        <f>SUM(E5:E10)</f>
        <v>1444907.0625</v>
      </c>
      <c r="F11" s="209">
        <f t="shared" ref="F11:G11" si="4">SUM(F5:F10)</f>
        <v>353000</v>
      </c>
      <c r="G11" s="209">
        <f t="shared" si="4"/>
        <v>3967566.0625</v>
      </c>
      <c r="H11" s="209">
        <f>SUM(H5:H10)</f>
        <v>3840476.44140625</v>
      </c>
      <c r="I11" s="399">
        <f>SUM(I5:I10)</f>
        <v>4080506.2189941406</v>
      </c>
    </row>
    <row r="12" spans="1:9" s="93" customFormat="1" x14ac:dyDescent="0.25">
      <c r="A12" s="96"/>
      <c r="B12" s="91"/>
      <c r="C12" s="176"/>
      <c r="D12" s="176"/>
      <c r="E12" s="176"/>
      <c r="F12" s="176"/>
      <c r="G12" s="176"/>
      <c r="H12" s="91"/>
      <c r="I12" s="404">
        <f>H12*6.9%+H12</f>
        <v>0</v>
      </c>
    </row>
    <row r="13" spans="1:9" s="93" customFormat="1" x14ac:dyDescent="0.25">
      <c r="A13" s="96" t="s">
        <v>6</v>
      </c>
      <c r="B13" s="91">
        <v>418068</v>
      </c>
      <c r="C13" s="91">
        <f>B13*6.25%+B13</f>
        <v>444197.25</v>
      </c>
      <c r="D13" s="176">
        <v>90361</v>
      </c>
      <c r="E13" s="176">
        <f t="shared" ref="E13:E17" si="5">C13-D13</f>
        <v>353836.25</v>
      </c>
      <c r="F13" s="239">
        <v>-200000</v>
      </c>
      <c r="G13" s="91">
        <f t="shared" ref="G13:G18" si="6">C13+F13</f>
        <v>244197.25</v>
      </c>
      <c r="H13" s="91">
        <f>C13*6.25%+C13</f>
        <v>471959.578125</v>
      </c>
      <c r="I13" s="404">
        <f>H13*6.25%+H13</f>
        <v>501457.0517578125</v>
      </c>
    </row>
    <row r="14" spans="1:9" s="93" customFormat="1" x14ac:dyDescent="0.25">
      <c r="A14" s="96" t="s">
        <v>7</v>
      </c>
      <c r="B14" s="91">
        <v>27183</v>
      </c>
      <c r="C14" s="91">
        <f t="shared" ref="C14:I17" si="7">B14*6.25%+B14</f>
        <v>28881.9375</v>
      </c>
      <c r="D14" s="176">
        <v>7585</v>
      </c>
      <c r="E14" s="176">
        <f t="shared" si="5"/>
        <v>21296.9375</v>
      </c>
      <c r="F14" s="239">
        <v>-10000</v>
      </c>
      <c r="G14" s="91">
        <f t="shared" si="6"/>
        <v>18881.9375</v>
      </c>
      <c r="H14" s="91">
        <f>C14*6.25%+C14</f>
        <v>30687.05859375</v>
      </c>
      <c r="I14" s="404">
        <f t="shared" si="7"/>
        <v>32604.999755859375</v>
      </c>
    </row>
    <row r="15" spans="1:9" s="93" customFormat="1" x14ac:dyDescent="0.25">
      <c r="A15" s="96" t="s">
        <v>8</v>
      </c>
      <c r="B15" s="91">
        <v>598021</v>
      </c>
      <c r="C15" s="91">
        <f t="shared" si="7"/>
        <v>635397.3125</v>
      </c>
      <c r="D15" s="176">
        <v>310819</v>
      </c>
      <c r="E15" s="176">
        <f t="shared" si="5"/>
        <v>324578.3125</v>
      </c>
      <c r="F15" s="239">
        <v>0</v>
      </c>
      <c r="G15" s="91">
        <f t="shared" si="6"/>
        <v>635397.3125</v>
      </c>
      <c r="H15" s="91">
        <f>C15*6.25%+C15</f>
        <v>675109.64453125</v>
      </c>
      <c r="I15" s="404">
        <f t="shared" si="7"/>
        <v>717303.99731445313</v>
      </c>
    </row>
    <row r="16" spans="1:9" s="93" customFormat="1" x14ac:dyDescent="0.25">
      <c r="A16" s="96" t="s">
        <v>398</v>
      </c>
      <c r="B16" s="91"/>
      <c r="C16" s="91">
        <v>6600</v>
      </c>
      <c r="D16" s="176"/>
      <c r="E16" s="176">
        <f t="shared" si="5"/>
        <v>6600</v>
      </c>
      <c r="F16" s="239">
        <v>-6600</v>
      </c>
      <c r="G16" s="91">
        <f t="shared" si="6"/>
        <v>0</v>
      </c>
      <c r="H16" s="91">
        <v>7055.4</v>
      </c>
      <c r="I16" s="404">
        <v>7542.2226000000001</v>
      </c>
    </row>
    <row r="17" spans="1:9" s="93" customFormat="1" x14ac:dyDescent="0.25">
      <c r="A17" s="96" t="s">
        <v>9</v>
      </c>
      <c r="B17" s="91">
        <v>27183</v>
      </c>
      <c r="C17" s="91">
        <f t="shared" si="7"/>
        <v>28881.9375</v>
      </c>
      <c r="D17" s="176">
        <v>21110</v>
      </c>
      <c r="E17" s="176">
        <f t="shared" si="5"/>
        <v>7771.9375</v>
      </c>
      <c r="F17" s="239">
        <v>15000</v>
      </c>
      <c r="G17" s="91">
        <f t="shared" si="6"/>
        <v>43881.9375</v>
      </c>
      <c r="H17" s="91">
        <f>C17*6.25%+C17</f>
        <v>30687.05859375</v>
      </c>
      <c r="I17" s="404">
        <f t="shared" si="7"/>
        <v>32604.999755859375</v>
      </c>
    </row>
    <row r="18" spans="1:9" s="746" customFormat="1" x14ac:dyDescent="0.25">
      <c r="A18" s="785" t="s">
        <v>872</v>
      </c>
      <c r="B18" s="91"/>
      <c r="C18" s="176"/>
      <c r="D18" s="176"/>
      <c r="E18" s="176"/>
      <c r="F18" s="239">
        <v>840</v>
      </c>
      <c r="G18" s="91">
        <f t="shared" si="6"/>
        <v>840</v>
      </c>
      <c r="H18" s="176">
        <v>0</v>
      </c>
      <c r="I18" s="404">
        <v>0</v>
      </c>
    </row>
    <row r="19" spans="1:9" s="93" customFormat="1" x14ac:dyDescent="0.25">
      <c r="A19" s="343" t="s">
        <v>41</v>
      </c>
      <c r="B19" s="89">
        <f>SUM(B13:B17)</f>
        <v>1070455</v>
      </c>
      <c r="C19" s="209">
        <f>SUM(C13:C18)</f>
        <v>1143958.4375</v>
      </c>
      <c r="D19" s="209">
        <f t="shared" ref="D19:G19" si="8">SUM(D13:D18)</f>
        <v>429875</v>
      </c>
      <c r="E19" s="209">
        <f t="shared" si="8"/>
        <v>714083.4375</v>
      </c>
      <c r="F19" s="209">
        <f t="shared" si="8"/>
        <v>-200760</v>
      </c>
      <c r="G19" s="209">
        <f t="shared" si="8"/>
        <v>943198.4375</v>
      </c>
      <c r="H19" s="209">
        <f>SUM(H13:H17)</f>
        <v>1215498.7398437499</v>
      </c>
      <c r="I19" s="399">
        <f>SUM(I13:I17)</f>
        <v>1291513.2711839844</v>
      </c>
    </row>
    <row r="20" spans="1:9" s="93" customFormat="1" x14ac:dyDescent="0.25">
      <c r="A20" s="96"/>
      <c r="B20" s="89"/>
      <c r="C20" s="209"/>
      <c r="D20" s="209"/>
      <c r="E20" s="209"/>
      <c r="F20" s="209"/>
      <c r="G20" s="209"/>
      <c r="H20" s="89"/>
      <c r="I20" s="404"/>
    </row>
    <row r="21" spans="1:9" x14ac:dyDescent="0.25">
      <c r="A21" s="96" t="s">
        <v>211</v>
      </c>
      <c r="B21" s="91">
        <v>5682</v>
      </c>
      <c r="C21" s="91">
        <f>B21*4.5%+B21</f>
        <v>5937.69</v>
      </c>
      <c r="D21" s="176"/>
      <c r="E21" s="176">
        <f t="shared" ref="E21" si="9">C21-D21</f>
        <v>5937.69</v>
      </c>
      <c r="F21" s="239">
        <v>0</v>
      </c>
      <c r="G21" s="91">
        <f t="shared" ref="G21" si="10">C21+F21</f>
        <v>5937.69</v>
      </c>
      <c r="H21" s="91">
        <f>C21*6.25%+C21</f>
        <v>6308.7956249999997</v>
      </c>
      <c r="I21" s="404">
        <f>H21*6.25%+H21</f>
        <v>6703.0953515624997</v>
      </c>
    </row>
    <row r="22" spans="1:9" x14ac:dyDescent="0.25">
      <c r="A22" s="343" t="s">
        <v>211</v>
      </c>
      <c r="B22" s="89">
        <f>B21</f>
        <v>5682</v>
      </c>
      <c r="C22" s="209">
        <f>C21</f>
        <v>5937.69</v>
      </c>
      <c r="D22" s="209">
        <f>D21</f>
        <v>0</v>
      </c>
      <c r="E22" s="209">
        <f>E21</f>
        <v>5937.69</v>
      </c>
      <c r="F22" s="209">
        <f t="shared" ref="F22:G22" si="11">F21</f>
        <v>0</v>
      </c>
      <c r="G22" s="209">
        <f t="shared" si="11"/>
        <v>5937.69</v>
      </c>
      <c r="H22" s="209">
        <f>H21</f>
        <v>6308.7956249999997</v>
      </c>
      <c r="I22" s="399">
        <f>I21</f>
        <v>6703.0953515624997</v>
      </c>
    </row>
    <row r="23" spans="1:9" s="93" customFormat="1" x14ac:dyDescent="0.25">
      <c r="A23" s="96"/>
      <c r="B23" s="91"/>
      <c r="C23" s="176"/>
      <c r="D23" s="176"/>
      <c r="E23" s="176"/>
      <c r="F23" s="176"/>
      <c r="G23" s="176"/>
      <c r="H23" s="91"/>
      <c r="I23" s="404"/>
    </row>
    <row r="24" spans="1:9" s="93" customFormat="1" x14ac:dyDescent="0.25">
      <c r="A24" s="96" t="s">
        <v>167</v>
      </c>
      <c r="B24" s="91">
        <v>2500000</v>
      </c>
      <c r="C24" s="91">
        <v>500000</v>
      </c>
      <c r="D24" s="176"/>
      <c r="E24" s="176">
        <f t="shared" ref="E24" si="12">C24-D24</f>
        <v>500000</v>
      </c>
      <c r="F24" s="176">
        <v>0</v>
      </c>
      <c r="G24" s="91">
        <f t="shared" ref="G24" si="13">C24+F24</f>
        <v>500000</v>
      </c>
      <c r="H24" s="91">
        <v>650000</v>
      </c>
      <c r="I24" s="404">
        <v>750000</v>
      </c>
    </row>
    <row r="25" spans="1:9" s="93" customFormat="1" ht="15.75" customHeight="1" x14ac:dyDescent="0.25">
      <c r="A25" s="343" t="s">
        <v>86</v>
      </c>
      <c r="B25" s="89">
        <f>SUM(B24:B24)</f>
        <v>2500000</v>
      </c>
      <c r="C25" s="209">
        <f>SUM(C24:C24)</f>
        <v>500000</v>
      </c>
      <c r="D25" s="209">
        <f>SUM(D24:D24)</f>
        <v>0</v>
      </c>
      <c r="E25" s="209">
        <f>SUM(E24:E24)</f>
        <v>500000</v>
      </c>
      <c r="F25" s="209">
        <f t="shared" ref="F25:G25" si="14">SUM(F24:F24)</f>
        <v>0</v>
      </c>
      <c r="G25" s="209">
        <f t="shared" si="14"/>
        <v>500000</v>
      </c>
      <c r="H25" s="209">
        <f>SUM(H24:H24)</f>
        <v>650000</v>
      </c>
      <c r="I25" s="387">
        <f>SUM(I24:I24)</f>
        <v>750000</v>
      </c>
    </row>
    <row r="26" spans="1:9" s="93" customFormat="1" x14ac:dyDescent="0.25">
      <c r="A26" s="96"/>
      <c r="B26" s="91"/>
      <c r="C26" s="176"/>
      <c r="D26" s="176"/>
      <c r="E26" s="176"/>
      <c r="F26" s="176"/>
      <c r="G26" s="176"/>
      <c r="H26" s="91"/>
      <c r="I26" s="404"/>
    </row>
    <row r="27" spans="1:9" s="93" customFormat="1" x14ac:dyDescent="0.25">
      <c r="A27" s="96" t="s">
        <v>24</v>
      </c>
      <c r="B27" s="91">
        <v>700000</v>
      </c>
      <c r="C27" s="158">
        <f>B27*6.25%+B27</f>
        <v>743750</v>
      </c>
      <c r="D27" s="239"/>
      <c r="E27" s="176">
        <f t="shared" ref="E27:E35" si="15">C27-D27</f>
        <v>743750</v>
      </c>
      <c r="F27" s="879">
        <f>-743750*0.5</f>
        <v>-371875</v>
      </c>
      <c r="G27" s="91">
        <f t="shared" ref="G27:G35" si="16">C27+F27</f>
        <v>371875</v>
      </c>
      <c r="H27" s="158">
        <f>C27*6.25%+C27</f>
        <v>790234.375</v>
      </c>
      <c r="I27" s="386">
        <f>H27*6.25%+H27</f>
        <v>839624.0234375</v>
      </c>
    </row>
    <row r="28" spans="1:9" s="93" customFormat="1" x14ac:dyDescent="0.25">
      <c r="A28" s="96" t="s">
        <v>63</v>
      </c>
      <c r="B28" s="91">
        <v>30000</v>
      </c>
      <c r="C28" s="158">
        <f>B28*6.25%+B28</f>
        <v>31875</v>
      </c>
      <c r="D28" s="239"/>
      <c r="E28" s="176">
        <f t="shared" si="15"/>
        <v>31875</v>
      </c>
      <c r="F28" s="879">
        <f>-31875*0.9</f>
        <v>-28687.5</v>
      </c>
      <c r="G28" s="91">
        <f t="shared" si="16"/>
        <v>3187.5</v>
      </c>
      <c r="H28" s="158">
        <f>C28*5.4%+C28</f>
        <v>33596.25</v>
      </c>
      <c r="I28" s="386">
        <f>H28*6.9%+H28</f>
        <v>35914.391250000001</v>
      </c>
    </row>
    <row r="29" spans="1:9" s="93" customFormat="1" x14ac:dyDescent="0.25">
      <c r="A29" s="96" t="s">
        <v>59</v>
      </c>
      <c r="B29" s="91">
        <v>6000</v>
      </c>
      <c r="C29" s="158">
        <f>B29*6.25%+B29</f>
        <v>6375</v>
      </c>
      <c r="D29" s="239"/>
      <c r="E29" s="176">
        <f t="shared" si="15"/>
        <v>6375</v>
      </c>
      <c r="F29" s="239">
        <v>0</v>
      </c>
      <c r="G29" s="91">
        <f t="shared" si="16"/>
        <v>6375</v>
      </c>
      <c r="H29" s="158">
        <f>C29*5.4%+C29</f>
        <v>6719.25</v>
      </c>
      <c r="I29" s="386">
        <f>H29*6.9%+H29</f>
        <v>7182.8782499999998</v>
      </c>
    </row>
    <row r="30" spans="1:9" s="93" customFormat="1" x14ac:dyDescent="0.25">
      <c r="A30" s="96" t="s">
        <v>51</v>
      </c>
      <c r="B30" s="91">
        <f>30000/2</f>
        <v>15000</v>
      </c>
      <c r="C30" s="158">
        <f>B30*6.25%+B30</f>
        <v>15937.5</v>
      </c>
      <c r="D30" s="239"/>
      <c r="E30" s="176">
        <f t="shared" si="15"/>
        <v>15937.5</v>
      </c>
      <c r="F30" s="879">
        <f>-15938*0.75</f>
        <v>-11953.5</v>
      </c>
      <c r="G30" s="91">
        <f t="shared" si="16"/>
        <v>3984</v>
      </c>
      <c r="H30" s="158">
        <f>C30*5.4%+C30</f>
        <v>16798.125</v>
      </c>
      <c r="I30" s="386">
        <f>H30*6.9%+H30</f>
        <v>17957.195625</v>
      </c>
    </row>
    <row r="31" spans="1:9" s="93" customFormat="1" ht="15" customHeight="1" x14ac:dyDescent="0.25">
      <c r="A31" s="96" t="s">
        <v>572</v>
      </c>
      <c r="B31" s="91">
        <v>50000</v>
      </c>
      <c r="C31" s="239">
        <v>60000</v>
      </c>
      <c r="D31" s="239"/>
      <c r="E31" s="176">
        <f t="shared" si="15"/>
        <v>60000</v>
      </c>
      <c r="F31" s="239">
        <v>-30000</v>
      </c>
      <c r="G31" s="91">
        <f t="shared" si="16"/>
        <v>30000</v>
      </c>
      <c r="H31" s="158">
        <v>65000</v>
      </c>
      <c r="I31" s="386">
        <v>70000</v>
      </c>
    </row>
    <row r="32" spans="1:9" s="93" customFormat="1" ht="44.25" customHeight="1" x14ac:dyDescent="0.25">
      <c r="A32" s="173" t="s">
        <v>721</v>
      </c>
      <c r="B32" s="91"/>
      <c r="C32" s="239">
        <v>400000</v>
      </c>
      <c r="D32" s="239"/>
      <c r="E32" s="176">
        <f t="shared" si="15"/>
        <v>400000</v>
      </c>
      <c r="F32" s="239">
        <v>-250000</v>
      </c>
      <c r="G32" s="91">
        <f t="shared" si="16"/>
        <v>150000</v>
      </c>
      <c r="H32" s="158">
        <v>450000</v>
      </c>
      <c r="I32" s="386">
        <v>500000</v>
      </c>
    </row>
    <row r="33" spans="1:9" s="754" customFormat="1" ht="30" x14ac:dyDescent="0.25">
      <c r="A33" s="755" t="s">
        <v>722</v>
      </c>
      <c r="B33" s="158"/>
      <c r="C33" s="239">
        <v>100000</v>
      </c>
      <c r="D33" s="239"/>
      <c r="E33" s="239">
        <f t="shared" si="15"/>
        <v>100000</v>
      </c>
      <c r="F33" s="239">
        <v>-100000</v>
      </c>
      <c r="G33" s="158">
        <f t="shared" si="16"/>
        <v>0</v>
      </c>
      <c r="H33" s="158">
        <v>110000</v>
      </c>
      <c r="I33" s="386">
        <v>120000</v>
      </c>
    </row>
    <row r="34" spans="1:9" s="93" customFormat="1" x14ac:dyDescent="0.25">
      <c r="A34" s="253" t="s">
        <v>735</v>
      </c>
      <c r="B34" s="158"/>
      <c r="C34" s="158">
        <v>120000</v>
      </c>
      <c r="D34" s="239"/>
      <c r="E34" s="176">
        <f t="shared" si="15"/>
        <v>120000</v>
      </c>
      <c r="F34" s="879">
        <f>-120000*0.5</f>
        <v>-60000</v>
      </c>
      <c r="G34" s="91">
        <f t="shared" si="16"/>
        <v>60000</v>
      </c>
      <c r="H34" s="239">
        <v>150000</v>
      </c>
      <c r="I34" s="386">
        <v>160000</v>
      </c>
    </row>
    <row r="35" spans="1:9" s="93" customFormat="1" ht="15" customHeight="1" x14ac:dyDescent="0.25">
      <c r="A35" s="96" t="s">
        <v>720</v>
      </c>
      <c r="B35" s="91">
        <v>0</v>
      </c>
      <c r="C35" s="239">
        <v>1000000</v>
      </c>
      <c r="D35" s="239"/>
      <c r="E35" s="176">
        <f t="shared" si="15"/>
        <v>1000000</v>
      </c>
      <c r="F35" s="239">
        <v>-1000000</v>
      </c>
      <c r="G35" s="91">
        <f t="shared" si="16"/>
        <v>0</v>
      </c>
      <c r="H35" s="158">
        <v>1100000</v>
      </c>
      <c r="I35" s="386">
        <v>1000000</v>
      </c>
    </row>
    <row r="36" spans="1:9" s="93" customFormat="1" ht="15" customHeight="1" x14ac:dyDescent="0.25">
      <c r="A36" s="343" t="s">
        <v>42</v>
      </c>
      <c r="B36" s="89">
        <f>SUM(B27:B35)</f>
        <v>801000</v>
      </c>
      <c r="C36" s="209">
        <f>SUM(C27:C35)</f>
        <v>2477937.5</v>
      </c>
      <c r="D36" s="209">
        <f>SUM(D27:D35)</f>
        <v>0</v>
      </c>
      <c r="E36" s="209">
        <f>SUM(E27:E35)</f>
        <v>2477937.5</v>
      </c>
      <c r="F36" s="209">
        <f t="shared" ref="F36:G36" si="17">SUM(F27:F35)</f>
        <v>-1852516</v>
      </c>
      <c r="G36" s="209">
        <f t="shared" si="17"/>
        <v>625421.5</v>
      </c>
      <c r="H36" s="209">
        <f>SUM(H27:H35)</f>
        <v>2722348</v>
      </c>
      <c r="I36" s="399">
        <f>SUM(I27:I35)</f>
        <v>2750678.4885625001</v>
      </c>
    </row>
    <row r="37" spans="1:9" s="93" customFormat="1" x14ac:dyDescent="0.25">
      <c r="A37" s="388"/>
      <c r="B37" s="91"/>
      <c r="C37" s="176"/>
      <c r="D37" s="176"/>
      <c r="E37" s="176"/>
      <c r="F37" s="176"/>
      <c r="G37" s="176"/>
      <c r="H37" s="91"/>
      <c r="I37" s="404">
        <f>H37*6.9%+H37</f>
        <v>0</v>
      </c>
    </row>
    <row r="38" spans="1:9" s="93" customFormat="1" ht="15.75" thickBot="1" x14ac:dyDescent="0.3">
      <c r="A38" s="390" t="s">
        <v>44</v>
      </c>
      <c r="B38" s="391">
        <f>B11+B19+B22+B25+B36</f>
        <v>7616578</v>
      </c>
      <c r="C38" s="403">
        <f>C11+C19+C22+C25+C36</f>
        <v>7742399.6900000004</v>
      </c>
      <c r="D38" s="403">
        <f>D11+D19+D22+D25+D36</f>
        <v>2599534</v>
      </c>
      <c r="E38" s="403">
        <f>E11+E19+E22+E25+E36</f>
        <v>5142865.6899999995</v>
      </c>
      <c r="F38" s="403">
        <f t="shared" ref="F38:G38" si="18">F11+F19+F22+F25+F36</f>
        <v>-1700276</v>
      </c>
      <c r="G38" s="403">
        <f t="shared" si="18"/>
        <v>6042123.6900000004</v>
      </c>
      <c r="H38" s="403">
        <f>H11+H19+H22+H25+H36</f>
        <v>8434631.9768749997</v>
      </c>
      <c r="I38" s="401">
        <f>I11+I19+I22+I25+I36</f>
        <v>8879401.074092187</v>
      </c>
    </row>
  </sheetData>
  <phoneticPr fontId="8" type="noConversion"/>
  <pageMargins left="0.74803149606299213" right="0.74803149606299213" top="0.47244094488188981" bottom="0.9055118110236221" header="1.1417322834645669" footer="0.51181102362204722"/>
  <pageSetup paperSize="9" scale="74" fitToHeight="2" orientation="landscape" r:id="rId1"/>
  <headerFooter scaleWithDoc="0">
    <oddFooter>&amp;A&amp;RPage &amp;P</oddFooter>
    <firstHeader>&amp;L1</firstHeader>
    <firstFooter>&amp;C&amp;A&amp;R&amp;P</firstFooter>
  </headerFooter>
  <rowBreaks count="1" manualBreakCount="1">
    <brk id="38" max="16383" man="1"/>
  </rowBreaks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I33"/>
  <sheetViews>
    <sheetView view="pageBreakPreview" topLeftCell="A7" zoomScale="60" zoomScaleNormal="100" workbookViewId="0">
      <selection activeCell="G41" sqref="G41"/>
    </sheetView>
  </sheetViews>
  <sheetFormatPr defaultColWidth="9.28515625" defaultRowHeight="15" x14ac:dyDescent="0.25"/>
  <cols>
    <col min="1" max="1" width="27.7109375" style="97" customWidth="1"/>
    <col min="2" max="2" width="14.7109375" style="152" hidden="1" customWidth="1"/>
    <col min="3" max="7" width="16" style="152" customWidth="1"/>
    <col min="8" max="8" width="16.7109375" style="152" customWidth="1"/>
    <col min="9" max="9" width="13.85546875" style="97" customWidth="1"/>
    <col min="10" max="16384" width="9.28515625" style="97"/>
  </cols>
  <sheetData>
    <row r="1" spans="1:9" ht="18.75" x14ac:dyDescent="0.3">
      <c r="A1" s="154" t="s">
        <v>478</v>
      </c>
      <c r="B1" s="164"/>
      <c r="C1" s="164"/>
      <c r="D1" s="164"/>
      <c r="E1" s="164"/>
      <c r="F1" s="164"/>
      <c r="G1" s="164"/>
      <c r="H1" s="164"/>
    </row>
    <row r="2" spans="1:9" ht="15.75" thickBot="1" x14ac:dyDescent="0.3"/>
    <row r="3" spans="1:9" s="93" customFormat="1" ht="45.75" customHeight="1" thickBot="1" x14ac:dyDescent="0.3">
      <c r="A3" s="382" t="s">
        <v>39</v>
      </c>
      <c r="B3" s="383" t="s">
        <v>393</v>
      </c>
      <c r="C3" s="383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18" t="s">
        <v>556</v>
      </c>
      <c r="I3" s="402" t="s">
        <v>644</v>
      </c>
    </row>
    <row r="4" spans="1:9" s="93" customFormat="1" x14ac:dyDescent="0.25">
      <c r="A4" s="96" t="s">
        <v>2</v>
      </c>
      <c r="B4" s="91">
        <f>3161431-565510</f>
        <v>2595921</v>
      </c>
      <c r="C4" s="91">
        <f>B4*6.25%+B4</f>
        <v>2758166.0625</v>
      </c>
      <c r="D4" s="176">
        <v>7199758.4400000004</v>
      </c>
      <c r="E4" s="176">
        <f>C4-D4</f>
        <v>-4441592.3775000004</v>
      </c>
      <c r="F4" s="239">
        <v>7000000</v>
      </c>
      <c r="G4" s="91">
        <f>C4+F4</f>
        <v>9758166.0625</v>
      </c>
      <c r="H4" s="91">
        <f>C4*6.25%+C4</f>
        <v>2930551.44140625</v>
      </c>
      <c r="I4" s="404">
        <f>H4*6.25%+H4</f>
        <v>3113710.9064941406</v>
      </c>
    </row>
    <row r="5" spans="1:9" s="93" customFormat="1" x14ac:dyDescent="0.25">
      <c r="A5" s="96" t="s">
        <v>3</v>
      </c>
      <c r="B5" s="91">
        <f>172180-47126</f>
        <v>125054</v>
      </c>
      <c r="C5" s="91">
        <f t="shared" ref="C5:I8" si="0">B5*6.25%+B5</f>
        <v>132869.875</v>
      </c>
      <c r="D5" s="176">
        <v>44252</v>
      </c>
      <c r="E5" s="176">
        <f t="shared" ref="E5:E8" si="1">C5-D5</f>
        <v>88617.875</v>
      </c>
      <c r="F5" s="239">
        <v>0</v>
      </c>
      <c r="G5" s="91">
        <f t="shared" ref="G5:G8" si="2">C5+F5</f>
        <v>132869.875</v>
      </c>
      <c r="H5" s="91">
        <f>C5*6.25%+C5</f>
        <v>141174.2421875</v>
      </c>
      <c r="I5" s="404">
        <f t="shared" si="0"/>
        <v>149997.63232421875</v>
      </c>
    </row>
    <row r="6" spans="1:9" s="93" customFormat="1" x14ac:dyDescent="0.25">
      <c r="A6" s="96" t="s">
        <v>4</v>
      </c>
      <c r="B6" s="91">
        <f>59621-9600</f>
        <v>50021</v>
      </c>
      <c r="C6" s="91">
        <f t="shared" si="0"/>
        <v>53147.3125</v>
      </c>
      <c r="D6" s="176">
        <v>12675.18</v>
      </c>
      <c r="E6" s="176">
        <f t="shared" si="1"/>
        <v>40472.1325</v>
      </c>
      <c r="F6" s="239">
        <v>0</v>
      </c>
      <c r="G6" s="91">
        <f t="shared" si="2"/>
        <v>53147.3125</v>
      </c>
      <c r="H6" s="91">
        <f>C6*6.25%+C6</f>
        <v>56469.01953125</v>
      </c>
      <c r="I6" s="404">
        <f t="shared" si="0"/>
        <v>59998.333251953125</v>
      </c>
    </row>
    <row r="7" spans="1:9" s="93" customFormat="1" x14ac:dyDescent="0.25">
      <c r="A7" s="96" t="s">
        <v>173</v>
      </c>
      <c r="B7" s="91"/>
      <c r="C7" s="91">
        <v>198677</v>
      </c>
      <c r="D7" s="176"/>
      <c r="E7" s="176">
        <f t="shared" si="1"/>
        <v>198677</v>
      </c>
      <c r="F7" s="239">
        <v>0</v>
      </c>
      <c r="G7" s="91">
        <f t="shared" si="2"/>
        <v>198677</v>
      </c>
      <c r="H7" s="91">
        <f>C7*6.25%+C7</f>
        <v>211094.3125</v>
      </c>
      <c r="I7" s="404">
        <f>H7*6.25%+H7</f>
        <v>224287.70703125</v>
      </c>
    </row>
    <row r="8" spans="1:9" s="93" customFormat="1" x14ac:dyDescent="0.25">
      <c r="A8" s="96" t="s">
        <v>5</v>
      </c>
      <c r="B8" s="91">
        <f>856908-237043</f>
        <v>619865</v>
      </c>
      <c r="C8" s="91">
        <f t="shared" si="0"/>
        <v>658606.5625</v>
      </c>
      <c r="D8" s="176">
        <v>363621.36</v>
      </c>
      <c r="E8" s="176">
        <f t="shared" si="1"/>
        <v>294985.20250000001</v>
      </c>
      <c r="F8" s="239">
        <v>70000</v>
      </c>
      <c r="G8" s="91">
        <f t="shared" si="2"/>
        <v>728606.5625</v>
      </c>
      <c r="H8" s="91">
        <f>C8*6.25%+C8</f>
        <v>699769.47265625</v>
      </c>
      <c r="I8" s="404">
        <f t="shared" si="0"/>
        <v>743505.06469726563</v>
      </c>
    </row>
    <row r="9" spans="1:9" s="93" customFormat="1" x14ac:dyDescent="0.25">
      <c r="A9" s="343" t="s">
        <v>40</v>
      </c>
      <c r="B9" s="89">
        <f>SUM(B4:B8)</f>
        <v>3390861</v>
      </c>
      <c r="C9" s="89">
        <f>SUM(C4:C8)</f>
        <v>3801466.8125</v>
      </c>
      <c r="D9" s="89">
        <f>SUM(D4:D8)</f>
        <v>7620306.9800000004</v>
      </c>
      <c r="E9" s="89">
        <f>SUM(E4:E8)</f>
        <v>-3818840.1675</v>
      </c>
      <c r="F9" s="89">
        <f t="shared" ref="F9:G9" si="3">SUM(F4:F8)</f>
        <v>7070000</v>
      </c>
      <c r="G9" s="89">
        <f t="shared" si="3"/>
        <v>10871466.8125</v>
      </c>
      <c r="H9" s="209">
        <f>SUM(H4:H8)</f>
        <v>4039058.48828125</v>
      </c>
      <c r="I9" s="399">
        <f>SUM(I4:I8)</f>
        <v>4291499.6437988281</v>
      </c>
    </row>
    <row r="10" spans="1:9" s="93" customFormat="1" x14ac:dyDescent="0.25">
      <c r="A10" s="96"/>
      <c r="B10" s="91"/>
      <c r="C10" s="91"/>
      <c r="D10" s="176"/>
      <c r="E10" s="176"/>
      <c r="F10" s="176"/>
      <c r="G10" s="176"/>
      <c r="H10" s="176"/>
      <c r="I10" s="404">
        <f>H10*6.9%+H10</f>
        <v>0</v>
      </c>
    </row>
    <row r="11" spans="1:9" s="93" customFormat="1" x14ac:dyDescent="0.25">
      <c r="A11" s="96" t="s">
        <v>6</v>
      </c>
      <c r="B11" s="91">
        <f>185808-46452</f>
        <v>139356</v>
      </c>
      <c r="C11" s="91">
        <f>B11*6.25%+B11</f>
        <v>148065.75</v>
      </c>
      <c r="D11" s="176">
        <v>75871</v>
      </c>
      <c r="E11" s="176">
        <f t="shared" ref="E11:E14" si="4">C11-D11</f>
        <v>72194.75</v>
      </c>
      <c r="F11" s="239">
        <v>4000</v>
      </c>
      <c r="G11" s="91">
        <f t="shared" ref="G11:G15" si="5">C11+F11</f>
        <v>152065.75</v>
      </c>
      <c r="H11" s="91">
        <f>C11*6.25%+C11</f>
        <v>157319.859375</v>
      </c>
      <c r="I11" s="404">
        <f>H11*6.25%+H11</f>
        <v>167152.3505859375</v>
      </c>
    </row>
    <row r="12" spans="1:9" s="93" customFormat="1" x14ac:dyDescent="0.25">
      <c r="A12" s="96" t="s">
        <v>7</v>
      </c>
      <c r="B12" s="91">
        <f>31614-5655</f>
        <v>25959</v>
      </c>
      <c r="C12" s="91">
        <f t="shared" ref="C12:I13" si="6">B12*6.25%+B12</f>
        <v>27581.4375</v>
      </c>
      <c r="D12" s="176">
        <v>3569</v>
      </c>
      <c r="E12" s="176">
        <f t="shared" si="4"/>
        <v>24012.4375</v>
      </c>
      <c r="F12" s="239">
        <v>-15000</v>
      </c>
      <c r="G12" s="91">
        <f t="shared" si="5"/>
        <v>12581.4375</v>
      </c>
      <c r="H12" s="91">
        <f>C12*6.25%+C12</f>
        <v>29305.27734375</v>
      </c>
      <c r="I12" s="404">
        <f t="shared" si="6"/>
        <v>31136.857177734375</v>
      </c>
    </row>
    <row r="13" spans="1:9" s="93" customFormat="1" x14ac:dyDescent="0.25">
      <c r="A13" s="96" t="s">
        <v>8</v>
      </c>
      <c r="B13" s="91">
        <f>454557-124412</f>
        <v>330145</v>
      </c>
      <c r="C13" s="91">
        <f t="shared" si="6"/>
        <v>350779.0625</v>
      </c>
      <c r="D13" s="176">
        <v>228711.38</v>
      </c>
      <c r="E13" s="176">
        <f t="shared" si="4"/>
        <v>122067.6825</v>
      </c>
      <c r="F13" s="239">
        <v>80000</v>
      </c>
      <c r="G13" s="91">
        <f t="shared" si="5"/>
        <v>430779.0625</v>
      </c>
      <c r="H13" s="91">
        <f>C13*6.25%+C13</f>
        <v>372702.75390625</v>
      </c>
      <c r="I13" s="404">
        <f t="shared" si="6"/>
        <v>395996.67602539063</v>
      </c>
    </row>
    <row r="14" spans="1:9" s="93" customFormat="1" x14ac:dyDescent="0.25">
      <c r="A14" s="96" t="s">
        <v>398</v>
      </c>
      <c r="B14" s="91"/>
      <c r="C14" s="91">
        <v>16200</v>
      </c>
      <c r="D14" s="176"/>
      <c r="E14" s="176">
        <f t="shared" si="4"/>
        <v>16200</v>
      </c>
      <c r="F14" s="239">
        <v>-16200</v>
      </c>
      <c r="G14" s="91">
        <f t="shared" si="5"/>
        <v>0</v>
      </c>
      <c r="H14" s="91">
        <v>17317.8</v>
      </c>
      <c r="I14" s="404">
        <v>18512.728199999998</v>
      </c>
    </row>
    <row r="15" spans="1:9" s="93" customFormat="1" x14ac:dyDescent="0.25">
      <c r="A15" s="785" t="s">
        <v>872</v>
      </c>
      <c r="B15" s="91">
        <f>31614-5655</f>
        <v>25959</v>
      </c>
      <c r="F15" s="93">
        <v>840</v>
      </c>
      <c r="G15" s="91">
        <f t="shared" si="5"/>
        <v>840</v>
      </c>
    </row>
    <row r="16" spans="1:9" s="93" customFormat="1" x14ac:dyDescent="0.25">
      <c r="A16" s="343" t="s">
        <v>41</v>
      </c>
      <c r="B16" s="89">
        <f>SUM(B11:B15)</f>
        <v>521419</v>
      </c>
      <c r="C16" s="89">
        <f>SUM(C11:C15)</f>
        <v>542626.25</v>
      </c>
      <c r="D16" s="89">
        <f>SUM(D11:D15)</f>
        <v>308151.38</v>
      </c>
      <c r="E16" s="89">
        <f>SUM(E11:E15)</f>
        <v>234474.87</v>
      </c>
      <c r="F16" s="89">
        <f t="shared" ref="F16:G16" si="7">SUM(F11:F15)</f>
        <v>53640</v>
      </c>
      <c r="G16" s="89">
        <f t="shared" si="7"/>
        <v>596266.25</v>
      </c>
      <c r="H16" s="89">
        <f>SUM(H11:H15)</f>
        <v>576645.69062500005</v>
      </c>
      <c r="I16" s="89">
        <f>SUM(I11:I15)</f>
        <v>612798.61198906251</v>
      </c>
    </row>
    <row r="17" spans="1:9" s="93" customFormat="1" x14ac:dyDescent="0.25">
      <c r="A17" s="96"/>
      <c r="B17" s="89"/>
      <c r="C17" s="89"/>
      <c r="D17" s="209"/>
      <c r="E17" s="209"/>
      <c r="F17" s="209"/>
      <c r="G17" s="209"/>
      <c r="H17" s="209"/>
      <c r="I17" s="404">
        <f>H17*6.9%+H17</f>
        <v>0</v>
      </c>
    </row>
    <row r="18" spans="1:9" x14ac:dyDescent="0.25">
      <c r="A18" s="96" t="s">
        <v>211</v>
      </c>
      <c r="B18" s="148">
        <v>1285967</v>
      </c>
      <c r="C18" s="91">
        <f>B18*4.5%+B18</f>
        <v>1343835.5149999999</v>
      </c>
      <c r="D18" s="176"/>
      <c r="E18" s="176">
        <f t="shared" ref="E18" si="8">C18-D18</f>
        <v>1343835.5149999999</v>
      </c>
      <c r="F18" s="239">
        <v>0</v>
      </c>
      <c r="G18" s="91">
        <f t="shared" ref="G18" si="9">C18+F18</f>
        <v>1343835.5149999999</v>
      </c>
      <c r="H18" s="91">
        <f>C18*6.25%+C18</f>
        <v>1427825.2346874999</v>
      </c>
      <c r="I18" s="404">
        <f>H18*6.25%+H18</f>
        <v>1517064.3118554687</v>
      </c>
    </row>
    <row r="19" spans="1:9" x14ac:dyDescent="0.25">
      <c r="A19" s="343" t="s">
        <v>211</v>
      </c>
      <c r="B19" s="89">
        <f>B18</f>
        <v>1285967</v>
      </c>
      <c r="C19" s="89">
        <f>C18</f>
        <v>1343835.5149999999</v>
      </c>
      <c r="D19" s="89">
        <f>D18</f>
        <v>0</v>
      </c>
      <c r="E19" s="89">
        <f>E18</f>
        <v>1343835.5149999999</v>
      </c>
      <c r="F19" s="89">
        <f t="shared" ref="F19:G19" si="10">F18</f>
        <v>0</v>
      </c>
      <c r="G19" s="89">
        <f t="shared" si="10"/>
        <v>1343835.5149999999</v>
      </c>
      <c r="H19" s="209">
        <f>H18</f>
        <v>1427825.2346874999</v>
      </c>
      <c r="I19" s="399">
        <f>I18</f>
        <v>1517064.3118554687</v>
      </c>
    </row>
    <row r="20" spans="1:9" s="93" customFormat="1" x14ac:dyDescent="0.25">
      <c r="A20" s="96"/>
      <c r="B20" s="91"/>
      <c r="C20" s="91"/>
      <c r="D20" s="176"/>
      <c r="E20" s="176"/>
      <c r="F20" s="176"/>
      <c r="G20" s="176"/>
      <c r="H20" s="176"/>
      <c r="I20" s="404">
        <f>H20*6.9%+H20</f>
        <v>0</v>
      </c>
    </row>
    <row r="21" spans="1:9" s="93" customFormat="1" x14ac:dyDescent="0.25">
      <c r="A21" s="96" t="s">
        <v>20</v>
      </c>
      <c r="B21" s="91">
        <v>12000</v>
      </c>
      <c r="C21" s="91">
        <f>B21*6.25%+B21</f>
        <v>12750</v>
      </c>
      <c r="D21" s="176"/>
      <c r="E21" s="176">
        <f t="shared" ref="E21" si="11">C21-D21</f>
        <v>12750</v>
      </c>
      <c r="F21" s="879">
        <v>0</v>
      </c>
      <c r="G21" s="91">
        <f t="shared" ref="G21" si="12">C21+F21</f>
        <v>12750</v>
      </c>
      <c r="H21" s="91">
        <f>C21*6.25%+C21</f>
        <v>13546.875</v>
      </c>
      <c r="I21" s="404">
        <f>H21*6.25%+H21</f>
        <v>14393.5546875</v>
      </c>
    </row>
    <row r="22" spans="1:9" s="167" customFormat="1" x14ac:dyDescent="0.25">
      <c r="A22" s="343" t="s">
        <v>43</v>
      </c>
      <c r="B22" s="89">
        <f>SUM(B21)</f>
        <v>12000</v>
      </c>
      <c r="C22" s="89">
        <f>SUM(C21)</f>
        <v>12750</v>
      </c>
      <c r="D22" s="89">
        <f>SUM(D21)</f>
        <v>0</v>
      </c>
      <c r="E22" s="89">
        <f>SUM(E21)</f>
        <v>12750</v>
      </c>
      <c r="F22" s="806">
        <f t="shared" ref="F22:G22" si="13">SUM(F21)</f>
        <v>0</v>
      </c>
      <c r="G22" s="89">
        <f t="shared" si="13"/>
        <v>12750</v>
      </c>
      <c r="H22" s="209">
        <f>SUM(H21)</f>
        <v>13546.875</v>
      </c>
      <c r="I22" s="399">
        <f>SUM(I21)</f>
        <v>14393.5546875</v>
      </c>
    </row>
    <row r="23" spans="1:9" s="167" customFormat="1" x14ac:dyDescent="0.25">
      <c r="A23" s="139"/>
      <c r="B23" s="89"/>
      <c r="C23" s="89"/>
      <c r="D23" s="209"/>
      <c r="E23" s="209"/>
      <c r="F23" s="209"/>
      <c r="G23" s="209"/>
      <c r="H23" s="209"/>
      <c r="I23" s="399"/>
    </row>
    <row r="24" spans="1:9" s="167" customFormat="1" x14ac:dyDescent="0.25">
      <c r="A24" s="139"/>
      <c r="B24" s="89"/>
      <c r="C24" s="89"/>
      <c r="D24" s="209"/>
      <c r="E24" s="209"/>
      <c r="F24" s="209"/>
      <c r="G24" s="209"/>
      <c r="H24" s="209"/>
      <c r="I24" s="399"/>
    </row>
    <row r="25" spans="1:9" s="167" customFormat="1" x14ac:dyDescent="0.25">
      <c r="A25" s="96" t="s">
        <v>9</v>
      </c>
      <c r="B25" s="89"/>
      <c r="C25" s="91">
        <f>B15*6.25%+B15</f>
        <v>27581.4375</v>
      </c>
      <c r="D25" s="176">
        <v>16725</v>
      </c>
      <c r="E25" s="176">
        <f t="shared" ref="E25:E30" si="14">C25-D25</f>
        <v>10856.4375</v>
      </c>
      <c r="F25" s="239">
        <v>15000</v>
      </c>
      <c r="G25" s="91">
        <f t="shared" ref="G25:G30" si="15">C25+F25</f>
        <v>42581.4375</v>
      </c>
      <c r="H25" s="91">
        <f>C25*6.25%+C25</f>
        <v>29305.27734375</v>
      </c>
      <c r="I25" s="404">
        <f>H25*6.25%+H25</f>
        <v>31136.857177734375</v>
      </c>
    </row>
    <row r="26" spans="1:9" s="93" customFormat="1" x14ac:dyDescent="0.25">
      <c r="A26" s="96" t="s">
        <v>24</v>
      </c>
      <c r="B26" s="91">
        <v>100000</v>
      </c>
      <c r="C26" s="91">
        <f t="shared" ref="C26:I29" si="16">B26*6.25%+B26</f>
        <v>106250</v>
      </c>
      <c r="D26" s="176"/>
      <c r="E26" s="176">
        <f t="shared" si="14"/>
        <v>106250</v>
      </c>
      <c r="F26" s="239">
        <v>0</v>
      </c>
      <c r="G26" s="91">
        <f t="shared" si="15"/>
        <v>106250</v>
      </c>
      <c r="H26" s="176">
        <f>C26*6.25%+C26</f>
        <v>112890.625</v>
      </c>
      <c r="I26" s="404">
        <f t="shared" si="16"/>
        <v>119946.2890625</v>
      </c>
    </row>
    <row r="27" spans="1:9" s="93" customFormat="1" x14ac:dyDescent="0.25">
      <c r="A27" s="96" t="s">
        <v>63</v>
      </c>
      <c r="B27" s="91">
        <v>6000</v>
      </c>
      <c r="C27" s="91">
        <f t="shared" si="16"/>
        <v>6375</v>
      </c>
      <c r="D27" s="176"/>
      <c r="E27" s="176">
        <f t="shared" si="14"/>
        <v>6375</v>
      </c>
      <c r="F27" s="239">
        <v>0</v>
      </c>
      <c r="G27" s="91">
        <f t="shared" si="15"/>
        <v>6375</v>
      </c>
      <c r="H27" s="176">
        <f>C27*6.25%+C27</f>
        <v>6773.4375</v>
      </c>
      <c r="I27" s="404">
        <f t="shared" si="16"/>
        <v>7196.77734375</v>
      </c>
    </row>
    <row r="28" spans="1:9" s="93" customFormat="1" x14ac:dyDescent="0.25">
      <c r="A28" s="253" t="s">
        <v>59</v>
      </c>
      <c r="B28" s="254">
        <v>15000</v>
      </c>
      <c r="C28" s="91">
        <f t="shared" si="16"/>
        <v>15937.5</v>
      </c>
      <c r="D28" s="176"/>
      <c r="E28" s="176">
        <f t="shared" si="14"/>
        <v>15937.5</v>
      </c>
      <c r="F28" s="239">
        <v>0</v>
      </c>
      <c r="G28" s="91">
        <f t="shared" si="15"/>
        <v>15937.5</v>
      </c>
      <c r="H28" s="176">
        <f>C28*6.25%+C28</f>
        <v>16933.59375</v>
      </c>
      <c r="I28" s="404">
        <f t="shared" si="16"/>
        <v>17991.943359375</v>
      </c>
    </row>
    <row r="29" spans="1:9" s="93" customFormat="1" x14ac:dyDescent="0.25">
      <c r="A29" s="253" t="s">
        <v>51</v>
      </c>
      <c r="B29" s="254">
        <v>80000</v>
      </c>
      <c r="C29" s="91">
        <f t="shared" si="16"/>
        <v>85000</v>
      </c>
      <c r="D29" s="176">
        <v>1463</v>
      </c>
      <c r="E29" s="176">
        <f t="shared" si="14"/>
        <v>83537</v>
      </c>
      <c r="F29" s="879">
        <v>-50000</v>
      </c>
      <c r="G29" s="91">
        <f t="shared" si="15"/>
        <v>35000</v>
      </c>
      <c r="H29" s="176">
        <f>C29*6.25%+C29</f>
        <v>90312.5</v>
      </c>
      <c r="I29" s="404">
        <f t="shared" si="16"/>
        <v>95957.03125</v>
      </c>
    </row>
    <row r="30" spans="1:9" s="93" customFormat="1" x14ac:dyDescent="0.25">
      <c r="A30" s="253" t="s">
        <v>591</v>
      </c>
      <c r="B30" s="158">
        <v>50000</v>
      </c>
      <c r="C30" s="158">
        <f>B30*5.4%+B30</f>
        <v>52700</v>
      </c>
      <c r="D30" s="239"/>
      <c r="E30" s="176">
        <f t="shared" si="14"/>
        <v>52700</v>
      </c>
      <c r="F30" s="879">
        <v>-10000</v>
      </c>
      <c r="G30" s="91">
        <f t="shared" si="15"/>
        <v>42700</v>
      </c>
      <c r="H30" s="239">
        <v>70000</v>
      </c>
      <c r="I30" s="386">
        <v>80000</v>
      </c>
    </row>
    <row r="31" spans="1:9" s="93" customFormat="1" x14ac:dyDescent="0.25">
      <c r="A31" s="343" t="s">
        <v>42</v>
      </c>
      <c r="B31" s="89">
        <f>SUM(B26:B30)</f>
        <v>251000</v>
      </c>
      <c r="C31" s="89">
        <f>SUM(C25:C30)</f>
        <v>293843.9375</v>
      </c>
      <c r="D31" s="89">
        <f>SUM(D25:D30)</f>
        <v>18188</v>
      </c>
      <c r="E31" s="89">
        <f>SUM(E25:E30)</f>
        <v>275655.9375</v>
      </c>
      <c r="F31" s="89">
        <f t="shared" ref="F31:G31" si="17">SUM(F25:F30)</f>
        <v>-45000</v>
      </c>
      <c r="G31" s="89">
        <f t="shared" si="17"/>
        <v>248843.9375</v>
      </c>
      <c r="H31" s="89">
        <f>SUM(H25:H30)</f>
        <v>326215.43359375</v>
      </c>
      <c r="I31" s="89">
        <f>SUM(I25:I30)</f>
        <v>352228.89819335938</v>
      </c>
    </row>
    <row r="32" spans="1:9" s="93" customFormat="1" x14ac:dyDescent="0.25">
      <c r="A32" s="388"/>
      <c r="B32" s="91"/>
      <c r="C32" s="91"/>
      <c r="D32" s="176"/>
      <c r="E32" s="176"/>
      <c r="F32" s="176"/>
      <c r="G32" s="176"/>
      <c r="H32" s="176"/>
      <c r="I32" s="404">
        <f>H32*6.9%+H32</f>
        <v>0</v>
      </c>
    </row>
    <row r="33" spans="1:9" s="93" customFormat="1" ht="15.75" thickBot="1" x14ac:dyDescent="0.3">
      <c r="A33" s="390" t="s">
        <v>44</v>
      </c>
      <c r="B33" s="391">
        <f>B9+B16+B19+B22+B31</f>
        <v>5461247</v>
      </c>
      <c r="C33" s="391">
        <f>C9+C16+C19+C22+C31</f>
        <v>5994522.5149999997</v>
      </c>
      <c r="D33" s="391">
        <f>D9+D16+D19+D22+D31</f>
        <v>7946646.3600000003</v>
      </c>
      <c r="E33" s="391">
        <f>E9+E16+E19+E22+E31</f>
        <v>-1952123.8449999997</v>
      </c>
      <c r="F33" s="391">
        <f t="shared" ref="F33:G33" si="18">F9+F16+F19+F22+F31</f>
        <v>7078640</v>
      </c>
      <c r="G33" s="391">
        <f t="shared" si="18"/>
        <v>13073162.515000001</v>
      </c>
      <c r="H33" s="391">
        <f>H9+H16+H19+H22+H31</f>
        <v>6383291.7221874995</v>
      </c>
      <c r="I33" s="401">
        <f>I9+I16+I19+I22+I31</f>
        <v>6787985.0205242187</v>
      </c>
    </row>
  </sheetData>
  <phoneticPr fontId="8" type="noConversion"/>
  <pageMargins left="0.74803149606299213" right="0.74803149606299213" top="0.98425196850393704" bottom="0.6692913385826772" header="0.51181102362204722" footer="0.51181102362204722"/>
  <pageSetup scale="87" orientation="landscape" r:id="rId1"/>
  <headerFooter alignWithMargins="0">
    <oddFooter>&amp;C&amp;A&amp;RPage &amp;P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42"/>
  <sheetViews>
    <sheetView view="pageBreakPreview" topLeftCell="A13" zoomScaleNormal="86" zoomScaleSheetLayoutView="100" workbookViewId="0">
      <selection activeCell="A34" sqref="A34"/>
    </sheetView>
  </sheetViews>
  <sheetFormatPr defaultColWidth="9.28515625" defaultRowHeight="15" x14ac:dyDescent="0.25"/>
  <cols>
    <col min="1" max="1" width="42.42578125" style="352" customWidth="1"/>
    <col min="2" max="2" width="17.7109375" style="247" hidden="1" customWidth="1"/>
    <col min="3" max="7" width="18.42578125" style="247" customWidth="1"/>
    <col min="8" max="8" width="18.7109375" style="247" customWidth="1"/>
    <col min="9" max="9" width="19.28515625" style="352" customWidth="1"/>
    <col min="10" max="16384" width="9.28515625" style="352"/>
  </cols>
  <sheetData>
    <row r="1" spans="1:9" s="272" customFormat="1" x14ac:dyDescent="0.25">
      <c r="B1" s="243"/>
      <c r="C1" s="243"/>
      <c r="D1" s="243"/>
      <c r="E1" s="243"/>
      <c r="F1" s="243"/>
      <c r="G1" s="243"/>
      <c r="H1" s="243"/>
    </row>
    <row r="2" spans="1:9" s="272" customFormat="1" ht="18.75" x14ac:dyDescent="0.3">
      <c r="A2" s="515" t="s">
        <v>479</v>
      </c>
      <c r="B2" s="362"/>
      <c r="C2" s="362"/>
      <c r="D2" s="362"/>
      <c r="E2" s="362"/>
      <c r="F2" s="362"/>
      <c r="G2" s="362"/>
      <c r="H2" s="362"/>
    </row>
    <row r="3" spans="1:9" s="272" customFormat="1" ht="15.75" thickBot="1" x14ac:dyDescent="0.3">
      <c r="B3" s="243"/>
      <c r="C3" s="243"/>
      <c r="D3" s="243"/>
      <c r="E3" s="243"/>
      <c r="F3" s="243"/>
      <c r="G3" s="243"/>
      <c r="H3" s="243"/>
    </row>
    <row r="4" spans="1:9" s="272" customFormat="1" ht="48" customHeight="1" thickBot="1" x14ac:dyDescent="0.3">
      <c r="A4" s="517" t="s">
        <v>39</v>
      </c>
      <c r="B4" s="537" t="s">
        <v>393</v>
      </c>
      <c r="C4" s="538" t="s">
        <v>442</v>
      </c>
      <c r="D4" s="604" t="s">
        <v>800</v>
      </c>
      <c r="E4" s="715" t="s">
        <v>87</v>
      </c>
      <c r="F4" s="384" t="s">
        <v>164</v>
      </c>
      <c r="G4" s="605" t="s">
        <v>789</v>
      </c>
      <c r="H4" s="538" t="s">
        <v>556</v>
      </c>
      <c r="I4" s="408" t="s">
        <v>644</v>
      </c>
    </row>
    <row r="5" spans="1:9" s="272" customFormat="1" x14ac:dyDescent="0.25">
      <c r="A5" s="253" t="s">
        <v>2</v>
      </c>
      <c r="B5" s="158">
        <v>4405274</v>
      </c>
      <c r="C5" s="158">
        <f>B5*6.25%+B5</f>
        <v>4680603.625</v>
      </c>
      <c r="D5" s="239">
        <v>2600969</v>
      </c>
      <c r="E5" s="239">
        <f>C5-D5</f>
        <v>2079634.625</v>
      </c>
      <c r="F5" s="239">
        <v>0</v>
      </c>
      <c r="G5" s="158">
        <f>C5+F5</f>
        <v>4680603.625</v>
      </c>
      <c r="H5" s="158">
        <f t="shared" ref="H5:H11" si="0">C5*6.25%+C5</f>
        <v>4973141.3515625</v>
      </c>
      <c r="I5" s="386">
        <f>H5*6.25%+H5</f>
        <v>5283962.6860351563</v>
      </c>
    </row>
    <row r="6" spans="1:9" s="272" customFormat="1" x14ac:dyDescent="0.25">
      <c r="A6" s="253" t="s">
        <v>3</v>
      </c>
      <c r="B6" s="158">
        <v>367106</v>
      </c>
      <c r="C6" s="158">
        <f t="shared" ref="C6:I11" si="1">B6*6.25%+B6</f>
        <v>390050.125</v>
      </c>
      <c r="D6" s="239">
        <v>204749</v>
      </c>
      <c r="E6" s="239">
        <f t="shared" ref="E6:E11" si="2">C6-D6</f>
        <v>185301.125</v>
      </c>
      <c r="F6" s="239">
        <v>0</v>
      </c>
      <c r="G6" s="158">
        <f t="shared" ref="G6:G11" si="3">C6+F6</f>
        <v>390050.125</v>
      </c>
      <c r="H6" s="158">
        <f t="shared" si="0"/>
        <v>414428.2578125</v>
      </c>
      <c r="I6" s="386">
        <f t="shared" si="1"/>
        <v>440330.02392578125</v>
      </c>
    </row>
    <row r="7" spans="1:9" s="272" customFormat="1" x14ac:dyDescent="0.25">
      <c r="A7" s="253" t="s">
        <v>17</v>
      </c>
      <c r="B7" s="158">
        <v>1956000</v>
      </c>
      <c r="C7" s="158">
        <f t="shared" si="1"/>
        <v>2078250</v>
      </c>
      <c r="D7" s="239">
        <v>3826892</v>
      </c>
      <c r="E7" s="239">
        <f t="shared" si="2"/>
        <v>-1748642</v>
      </c>
      <c r="F7" s="724">
        <v>1800000</v>
      </c>
      <c r="G7" s="158">
        <f t="shared" si="3"/>
        <v>3878250</v>
      </c>
      <c r="H7" s="158">
        <f t="shared" si="0"/>
        <v>2208140.625</v>
      </c>
      <c r="I7" s="386">
        <f t="shared" si="1"/>
        <v>2346149.4140625</v>
      </c>
    </row>
    <row r="8" spans="1:9" s="272" customFormat="1" x14ac:dyDescent="0.25">
      <c r="A8" s="253" t="s">
        <v>172</v>
      </c>
      <c r="B8" s="158">
        <v>547500</v>
      </c>
      <c r="C8" s="158">
        <f t="shared" si="1"/>
        <v>581718.75</v>
      </c>
      <c r="D8" s="239">
        <f>46276+2205</f>
        <v>48481</v>
      </c>
      <c r="E8" s="239">
        <f t="shared" si="2"/>
        <v>533237.75</v>
      </c>
      <c r="F8" s="239">
        <v>-200000</v>
      </c>
      <c r="G8" s="158">
        <f t="shared" si="3"/>
        <v>381718.75</v>
      </c>
      <c r="H8" s="158">
        <f t="shared" si="0"/>
        <v>618076.171875</v>
      </c>
      <c r="I8" s="386">
        <f t="shared" si="1"/>
        <v>656705.9326171875</v>
      </c>
    </row>
    <row r="9" spans="1:9" s="272" customFormat="1" x14ac:dyDescent="0.25">
      <c r="A9" s="253" t="s">
        <v>4</v>
      </c>
      <c r="B9" s="158">
        <v>67200</v>
      </c>
      <c r="C9" s="158">
        <f t="shared" si="1"/>
        <v>71400</v>
      </c>
      <c r="D9" s="239">
        <v>46297</v>
      </c>
      <c r="E9" s="239">
        <f t="shared" si="2"/>
        <v>25103</v>
      </c>
      <c r="F9" s="724">
        <v>20000</v>
      </c>
      <c r="G9" s="158">
        <f t="shared" si="3"/>
        <v>91400</v>
      </c>
      <c r="H9" s="158">
        <f t="shared" si="0"/>
        <v>75862.5</v>
      </c>
      <c r="I9" s="386">
        <f t="shared" si="1"/>
        <v>80603.90625</v>
      </c>
    </row>
    <row r="10" spans="1:9" s="272" customFormat="1" x14ac:dyDescent="0.25">
      <c r="A10" s="253" t="s">
        <v>173</v>
      </c>
      <c r="B10" s="158"/>
      <c r="C10" s="158">
        <v>92290</v>
      </c>
      <c r="D10" s="239">
        <v>20301</v>
      </c>
      <c r="E10" s="239">
        <f t="shared" si="2"/>
        <v>71989</v>
      </c>
      <c r="F10" s="239">
        <v>0</v>
      </c>
      <c r="G10" s="158">
        <f t="shared" si="3"/>
        <v>92290</v>
      </c>
      <c r="H10" s="158">
        <f t="shared" si="0"/>
        <v>98058.125</v>
      </c>
      <c r="I10" s="386">
        <f>H10*6.25%+H10</f>
        <v>104186.7578125</v>
      </c>
    </row>
    <row r="11" spans="1:9" s="272" customFormat="1" x14ac:dyDescent="0.25">
      <c r="A11" s="253" t="s">
        <v>399</v>
      </c>
      <c r="B11" s="158">
        <v>402480</v>
      </c>
      <c r="C11" s="158">
        <f t="shared" si="1"/>
        <v>427635</v>
      </c>
      <c r="D11" s="239">
        <v>229632</v>
      </c>
      <c r="E11" s="239">
        <f t="shared" si="2"/>
        <v>198003</v>
      </c>
      <c r="F11" s="724">
        <v>30000</v>
      </c>
      <c r="G11" s="158">
        <f t="shared" si="3"/>
        <v>457635</v>
      </c>
      <c r="H11" s="158">
        <f t="shared" si="0"/>
        <v>454362.1875</v>
      </c>
      <c r="I11" s="386">
        <f t="shared" si="1"/>
        <v>482759.82421875</v>
      </c>
    </row>
    <row r="12" spans="1:9" s="272" customFormat="1" x14ac:dyDescent="0.25">
      <c r="A12" s="424" t="s">
        <v>40</v>
      </c>
      <c r="B12" s="246">
        <f>SUM(B5:B11)</f>
        <v>7745560</v>
      </c>
      <c r="C12" s="246">
        <f>SUM(C5:C11)</f>
        <v>8321947.5</v>
      </c>
      <c r="D12" s="246">
        <f>SUM(D5:D11)</f>
        <v>6977321</v>
      </c>
      <c r="E12" s="246">
        <f>SUM(E5:E11)</f>
        <v>1344626.5</v>
      </c>
      <c r="F12" s="246">
        <f t="shared" ref="F12:G12" si="4">SUM(F5:F11)</f>
        <v>1650000</v>
      </c>
      <c r="G12" s="246">
        <f t="shared" si="4"/>
        <v>9971947.5</v>
      </c>
      <c r="H12" s="246">
        <f>SUM(H5:H11)</f>
        <v>8842069.21875</v>
      </c>
      <c r="I12" s="387">
        <f>SUM(I5:I11)</f>
        <v>9394698.544921875</v>
      </c>
    </row>
    <row r="13" spans="1:9" s="272" customFormat="1" x14ac:dyDescent="0.25">
      <c r="A13" s="253"/>
      <c r="B13" s="158"/>
      <c r="C13" s="158"/>
      <c r="D13" s="239"/>
      <c r="E13" s="239"/>
      <c r="F13" s="239"/>
      <c r="G13" s="239"/>
      <c r="H13" s="239"/>
      <c r="I13" s="386">
        <f>H13*6.9%+H13</f>
        <v>0</v>
      </c>
    </row>
    <row r="14" spans="1:9" s="272" customFormat="1" x14ac:dyDescent="0.25">
      <c r="A14" s="253" t="s">
        <v>6</v>
      </c>
      <c r="B14" s="158">
        <v>789684</v>
      </c>
      <c r="C14" s="158">
        <f>B14*6.5%+B14</f>
        <v>841013.46</v>
      </c>
      <c r="D14" s="239">
        <v>302938</v>
      </c>
      <c r="E14" s="239">
        <f t="shared" ref="E14:E17" si="5">C14-D14</f>
        <v>538075.46</v>
      </c>
      <c r="F14" s="239">
        <v>-150000</v>
      </c>
      <c r="G14" s="158">
        <f t="shared" ref="G14:G18" si="6">C14+F14</f>
        <v>691013.46</v>
      </c>
      <c r="H14" s="158">
        <f>C14*6.5%+C14</f>
        <v>895679.33490000002</v>
      </c>
      <c r="I14" s="386">
        <f>H14*6.5%+H14</f>
        <v>953898.49166850001</v>
      </c>
    </row>
    <row r="15" spans="1:9" s="272" customFormat="1" x14ac:dyDescent="0.25">
      <c r="A15" s="253" t="s">
        <v>7</v>
      </c>
      <c r="B15" s="158">
        <v>44053</v>
      </c>
      <c r="C15" s="158">
        <f t="shared" ref="C15:I17" si="7">B15*6.5%+B15</f>
        <v>46916.445</v>
      </c>
      <c r="D15" s="239">
        <v>15169</v>
      </c>
      <c r="E15" s="239">
        <f t="shared" si="5"/>
        <v>31747.445</v>
      </c>
      <c r="F15" s="239">
        <v>-10000</v>
      </c>
      <c r="G15" s="158">
        <f t="shared" si="6"/>
        <v>36916.445</v>
      </c>
      <c r="H15" s="158">
        <f>C15*6.5%+C15</f>
        <v>49966.013924999999</v>
      </c>
      <c r="I15" s="386">
        <f t="shared" si="7"/>
        <v>53213.804830125002</v>
      </c>
    </row>
    <row r="16" spans="1:9" s="272" customFormat="1" x14ac:dyDescent="0.25">
      <c r="A16" s="253" t="s">
        <v>53</v>
      </c>
      <c r="B16" s="158">
        <v>969160</v>
      </c>
      <c r="C16" s="158">
        <f t="shared" si="7"/>
        <v>1032155.4</v>
      </c>
      <c r="D16" s="239">
        <v>505192</v>
      </c>
      <c r="E16" s="239">
        <f t="shared" si="5"/>
        <v>526963.4</v>
      </c>
      <c r="F16" s="239">
        <v>0</v>
      </c>
      <c r="G16" s="158">
        <f t="shared" si="6"/>
        <v>1032155.4</v>
      </c>
      <c r="H16" s="158">
        <f>C16*6.5%+C16</f>
        <v>1099245.5009999999</v>
      </c>
      <c r="I16" s="386">
        <f t="shared" si="7"/>
        <v>1170696.458565</v>
      </c>
    </row>
    <row r="17" spans="1:9" s="93" customFormat="1" x14ac:dyDescent="0.25">
      <c r="A17" s="96" t="s">
        <v>437</v>
      </c>
      <c r="B17" s="91">
        <v>6600</v>
      </c>
      <c r="C17" s="91">
        <f t="shared" si="7"/>
        <v>7029</v>
      </c>
      <c r="D17" s="176"/>
      <c r="E17" s="239">
        <f t="shared" si="5"/>
        <v>7029</v>
      </c>
      <c r="F17" s="239">
        <v>-7029</v>
      </c>
      <c r="G17" s="158">
        <f t="shared" si="6"/>
        <v>0</v>
      </c>
      <c r="H17" s="91">
        <f>C17*6.5%+C17</f>
        <v>7485.8850000000002</v>
      </c>
      <c r="I17" s="404">
        <f t="shared" si="7"/>
        <v>7972.467525</v>
      </c>
    </row>
    <row r="18" spans="1:9" s="272" customFormat="1" x14ac:dyDescent="0.25">
      <c r="A18" s="785" t="s">
        <v>872</v>
      </c>
      <c r="B18" s="158">
        <v>44053</v>
      </c>
      <c r="E18" s="272">
        <v>0</v>
      </c>
      <c r="F18" s="272">
        <v>810</v>
      </c>
      <c r="G18" s="158">
        <f t="shared" si="6"/>
        <v>810</v>
      </c>
    </row>
    <row r="19" spans="1:9" s="272" customFormat="1" x14ac:dyDescent="0.25">
      <c r="A19" s="424" t="s">
        <v>41</v>
      </c>
      <c r="B19" s="246">
        <f>SUM(B14:B18)</f>
        <v>1853550</v>
      </c>
      <c r="C19" s="246">
        <f>SUM(C14:C18)</f>
        <v>1927114.3049999999</v>
      </c>
      <c r="D19" s="246">
        <f t="shared" ref="D19:G19" si="8">SUM(D14:D18)</f>
        <v>823299</v>
      </c>
      <c r="E19" s="246">
        <f t="shared" si="8"/>
        <v>1103815.3049999999</v>
      </c>
      <c r="F19" s="246">
        <f t="shared" si="8"/>
        <v>-166219</v>
      </c>
      <c r="G19" s="246">
        <f t="shared" si="8"/>
        <v>1760895.3049999999</v>
      </c>
      <c r="H19" s="246">
        <f>SUM(H14:H17)</f>
        <v>2052376.7348249999</v>
      </c>
      <c r="I19" s="246">
        <f>SUM(I14:I17)</f>
        <v>2185781.2225886253</v>
      </c>
    </row>
    <row r="20" spans="1:9" s="272" customFormat="1" x14ac:dyDescent="0.25">
      <c r="A20" s="253"/>
      <c r="B20" s="246"/>
      <c r="C20" s="246"/>
      <c r="D20" s="246"/>
      <c r="E20" s="246"/>
      <c r="F20" s="246"/>
      <c r="G20" s="246"/>
      <c r="H20" s="246"/>
      <c r="I20" s="246"/>
    </row>
    <row r="21" spans="1:9" s="272" customFormat="1" x14ac:dyDescent="0.25">
      <c r="A21" s="253"/>
      <c r="B21" s="246"/>
      <c r="C21" s="246"/>
      <c r="D21" s="351"/>
      <c r="E21" s="351"/>
      <c r="F21" s="351"/>
      <c r="G21" s="351"/>
      <c r="H21" s="351"/>
      <c r="I21" s="386">
        <f>H21*6.9%+H21</f>
        <v>0</v>
      </c>
    </row>
    <row r="22" spans="1:9" s="272" customFormat="1" x14ac:dyDescent="0.25">
      <c r="A22" s="253" t="s">
        <v>211</v>
      </c>
      <c r="B22" s="158">
        <v>5488190</v>
      </c>
      <c r="C22" s="158">
        <f>B22*4.5%+B22</f>
        <v>5735158.5499999998</v>
      </c>
      <c r="D22" s="239"/>
      <c r="E22" s="239">
        <f t="shared" ref="E22" si="9">C22-D22</f>
        <v>5735158.5499999998</v>
      </c>
      <c r="F22" s="239">
        <v>0</v>
      </c>
      <c r="G22" s="158">
        <f t="shared" ref="G22" si="10">C22+F22</f>
        <v>5735158.5499999998</v>
      </c>
      <c r="H22" s="158">
        <f>C22*6.25%+C22</f>
        <v>6093605.9593749996</v>
      </c>
      <c r="I22" s="386">
        <f>H22*6.25%+H22</f>
        <v>6474456.3318359368</v>
      </c>
    </row>
    <row r="23" spans="1:9" x14ac:dyDescent="0.25">
      <c r="A23" s="424" t="s">
        <v>211</v>
      </c>
      <c r="B23" s="246">
        <f>B22</f>
        <v>5488190</v>
      </c>
      <c r="C23" s="246">
        <f>C22</f>
        <v>5735158.5499999998</v>
      </c>
      <c r="D23" s="246">
        <f>D22</f>
        <v>0</v>
      </c>
      <c r="E23" s="246">
        <f>E22</f>
        <v>5735158.5499999998</v>
      </c>
      <c r="F23" s="246">
        <f t="shared" ref="F23:G23" si="11">F22</f>
        <v>0</v>
      </c>
      <c r="G23" s="246">
        <f t="shared" si="11"/>
        <v>5735158.5499999998</v>
      </c>
      <c r="H23" s="246">
        <f>H22</f>
        <v>6093605.9593749996</v>
      </c>
      <c r="I23" s="387">
        <f>I22</f>
        <v>6474456.3318359368</v>
      </c>
    </row>
    <row r="24" spans="1:9" x14ac:dyDescent="0.25">
      <c r="A24" s="253"/>
      <c r="B24" s="158"/>
      <c r="C24" s="158"/>
      <c r="D24" s="239"/>
      <c r="E24" s="239"/>
      <c r="F24" s="239"/>
      <c r="G24" s="239"/>
      <c r="H24" s="239"/>
      <c r="I24" s="386">
        <f>H24*6.9%+H24</f>
        <v>0</v>
      </c>
    </row>
    <row r="25" spans="1:9" s="272" customFormat="1" x14ac:dyDescent="0.25">
      <c r="A25" s="253" t="s">
        <v>31</v>
      </c>
      <c r="B25" s="158">
        <v>15000</v>
      </c>
      <c r="C25" s="158">
        <f t="shared" ref="C25:I26" si="12">B25*6.25%+B25</f>
        <v>15937.5</v>
      </c>
      <c r="D25" s="239"/>
      <c r="E25" s="239">
        <f t="shared" ref="E25:E26" si="13">C25-D25</f>
        <v>15937.5</v>
      </c>
      <c r="F25" s="239">
        <v>0</v>
      </c>
      <c r="G25" s="158">
        <f t="shared" ref="G25:G26" si="14">C25+F25</f>
        <v>15937.5</v>
      </c>
      <c r="H25" s="158">
        <f>C25*6.25%+C25</f>
        <v>16933.59375</v>
      </c>
      <c r="I25" s="386">
        <f t="shared" si="12"/>
        <v>17991.943359375</v>
      </c>
    </row>
    <row r="26" spans="1:9" s="272" customFormat="1" x14ac:dyDescent="0.25">
      <c r="A26" s="253" t="s">
        <v>20</v>
      </c>
      <c r="B26" s="158">
        <v>190000</v>
      </c>
      <c r="C26" s="158">
        <f t="shared" si="12"/>
        <v>201875</v>
      </c>
      <c r="D26" s="239">
        <v>10980</v>
      </c>
      <c r="E26" s="239">
        <f t="shared" si="13"/>
        <v>190895</v>
      </c>
      <c r="F26" s="239">
        <v>-30000</v>
      </c>
      <c r="G26" s="158">
        <f t="shared" si="14"/>
        <v>171875</v>
      </c>
      <c r="H26" s="158">
        <f>C26*6.25%+C26</f>
        <v>214492.1875</v>
      </c>
      <c r="I26" s="386">
        <f t="shared" si="12"/>
        <v>227897.94921875</v>
      </c>
    </row>
    <row r="27" spans="1:9" s="272" customFormat="1" x14ac:dyDescent="0.25">
      <c r="A27" s="253"/>
      <c r="B27" s="246">
        <f>SUM(B25:B26)</f>
        <v>205000</v>
      </c>
      <c r="C27" s="246">
        <f>SUM(C25:C26)</f>
        <v>217812.5</v>
      </c>
      <c r="D27" s="246">
        <f>SUM(D25:D26)</f>
        <v>10980</v>
      </c>
      <c r="E27" s="246">
        <f>SUM(E25:E26)</f>
        <v>206832.5</v>
      </c>
      <c r="F27" s="246">
        <f t="shared" ref="F27:G27" si="15">SUM(F25:F26)</f>
        <v>-30000</v>
      </c>
      <c r="G27" s="246">
        <f t="shared" si="15"/>
        <v>187812.5</v>
      </c>
      <c r="H27" s="246">
        <f>SUM(H25:H26)</f>
        <v>231425.78125</v>
      </c>
      <c r="I27" s="387">
        <f>SUM(I25:I26)</f>
        <v>245889.892578125</v>
      </c>
    </row>
    <row r="28" spans="1:9" s="272" customFormat="1" x14ac:dyDescent="0.25">
      <c r="A28" s="253"/>
      <c r="B28" s="246"/>
      <c r="C28" s="246"/>
      <c r="D28" s="246"/>
      <c r="E28" s="246"/>
      <c r="F28" s="246"/>
      <c r="G28" s="246"/>
      <c r="H28" s="246"/>
      <c r="I28" s="387"/>
    </row>
    <row r="29" spans="1:9" s="272" customFormat="1" x14ac:dyDescent="0.25">
      <c r="A29" s="253" t="s">
        <v>9</v>
      </c>
      <c r="B29" s="246"/>
      <c r="C29" s="158">
        <f>B18*6.5%+B18</f>
        <v>46916.445</v>
      </c>
      <c r="D29" s="239">
        <v>32452</v>
      </c>
      <c r="E29" s="239">
        <f t="shared" ref="E29:E37" si="16">C29-D29</f>
        <v>14464.445</v>
      </c>
      <c r="F29" s="239">
        <v>16000</v>
      </c>
      <c r="G29" s="158">
        <f t="shared" ref="G29:G37" si="17">C29+F29</f>
        <v>62916.445</v>
      </c>
      <c r="H29" s="158">
        <f>C29*6.5%+C29</f>
        <v>49966.013924999999</v>
      </c>
      <c r="I29" s="386">
        <f>H29*6.5%+H29</f>
        <v>53213.804830125002</v>
      </c>
    </row>
    <row r="30" spans="1:9" s="272" customFormat="1" ht="16.5" customHeight="1" x14ac:dyDescent="0.25">
      <c r="A30" s="271" t="s">
        <v>361</v>
      </c>
      <c r="B30" s="158">
        <v>6000</v>
      </c>
      <c r="C30" s="158">
        <f>B30*6.25%+B30</f>
        <v>6375</v>
      </c>
      <c r="D30" s="239"/>
      <c r="E30" s="239">
        <f t="shared" si="16"/>
        <v>6375</v>
      </c>
      <c r="F30" s="239">
        <v>0</v>
      </c>
      <c r="G30" s="158">
        <f t="shared" si="17"/>
        <v>6375</v>
      </c>
      <c r="H30" s="158">
        <f t="shared" ref="H30:H37" si="18">C30*6.25%+C30</f>
        <v>6773.4375</v>
      </c>
      <c r="I30" s="386">
        <f>H30*6.25%+H30</f>
        <v>7196.77734375</v>
      </c>
    </row>
    <row r="31" spans="1:9" s="252" customFormat="1" x14ac:dyDescent="0.25">
      <c r="A31" s="271" t="s">
        <v>24</v>
      </c>
      <c r="B31" s="158">
        <v>130000</v>
      </c>
      <c r="C31" s="158">
        <f t="shared" ref="C31:I37" si="19">B31*6.25%+B31</f>
        <v>138125</v>
      </c>
      <c r="D31" s="239"/>
      <c r="E31" s="239">
        <f t="shared" si="16"/>
        <v>138125</v>
      </c>
      <c r="F31" s="239">
        <v>0</v>
      </c>
      <c r="G31" s="158">
        <f t="shared" si="17"/>
        <v>138125</v>
      </c>
      <c r="H31" s="158">
        <f t="shared" si="18"/>
        <v>146757.8125</v>
      </c>
      <c r="I31" s="386">
        <f t="shared" si="19"/>
        <v>155930.17578125</v>
      </c>
    </row>
    <row r="32" spans="1:9" s="252" customFormat="1" x14ac:dyDescent="0.25">
      <c r="A32" s="253" t="s">
        <v>63</v>
      </c>
      <c r="B32" s="158">
        <v>17000</v>
      </c>
      <c r="C32" s="158">
        <f t="shared" si="19"/>
        <v>18062.5</v>
      </c>
      <c r="D32" s="239"/>
      <c r="E32" s="239">
        <f t="shared" si="16"/>
        <v>18062.5</v>
      </c>
      <c r="F32" s="239">
        <v>0</v>
      </c>
      <c r="G32" s="158">
        <f t="shared" si="17"/>
        <v>18062.5</v>
      </c>
      <c r="H32" s="158">
        <f t="shared" si="18"/>
        <v>19191.40625</v>
      </c>
      <c r="I32" s="386">
        <f t="shared" si="19"/>
        <v>20390.869140625</v>
      </c>
    </row>
    <row r="33" spans="1:9" s="272" customFormat="1" x14ac:dyDescent="0.25">
      <c r="A33" s="253" t="s">
        <v>59</v>
      </c>
      <c r="B33" s="158">
        <v>45000</v>
      </c>
      <c r="C33" s="158">
        <f t="shared" si="19"/>
        <v>47812.5</v>
      </c>
      <c r="D33" s="239"/>
      <c r="E33" s="239">
        <f t="shared" si="16"/>
        <v>47812.5</v>
      </c>
      <c r="F33" s="239">
        <v>-7813</v>
      </c>
      <c r="G33" s="158">
        <f t="shared" si="17"/>
        <v>39999.5</v>
      </c>
      <c r="H33" s="158">
        <f t="shared" si="18"/>
        <v>50800.78125</v>
      </c>
      <c r="I33" s="386">
        <f t="shared" si="19"/>
        <v>53975.830078125</v>
      </c>
    </row>
    <row r="34" spans="1:9" s="272" customFormat="1" x14ac:dyDescent="0.25">
      <c r="A34" s="253" t="s">
        <v>51</v>
      </c>
      <c r="B34" s="158">
        <f>100000/2</f>
        <v>50000</v>
      </c>
      <c r="C34" s="158">
        <f t="shared" si="19"/>
        <v>53125</v>
      </c>
      <c r="D34" s="239">
        <v>4818</v>
      </c>
      <c r="E34" s="239">
        <f t="shared" si="16"/>
        <v>48307</v>
      </c>
      <c r="F34" s="239">
        <v>-10000</v>
      </c>
      <c r="G34" s="158">
        <f t="shared" si="17"/>
        <v>43125</v>
      </c>
      <c r="H34" s="158">
        <f t="shared" si="18"/>
        <v>56445.3125</v>
      </c>
      <c r="I34" s="386">
        <f t="shared" si="19"/>
        <v>59973.14453125</v>
      </c>
    </row>
    <row r="35" spans="1:9" s="272" customFormat="1" x14ac:dyDescent="0.25">
      <c r="A35" s="253" t="s">
        <v>10</v>
      </c>
      <c r="B35" s="158">
        <v>75000</v>
      </c>
      <c r="C35" s="158">
        <f t="shared" si="19"/>
        <v>79687.5</v>
      </c>
      <c r="D35" s="239">
        <v>19552</v>
      </c>
      <c r="E35" s="239">
        <f t="shared" si="16"/>
        <v>60135.5</v>
      </c>
      <c r="F35" s="239">
        <v>0</v>
      </c>
      <c r="G35" s="158">
        <f t="shared" si="17"/>
        <v>79687.5</v>
      </c>
      <c r="H35" s="158">
        <f t="shared" si="18"/>
        <v>84667.96875</v>
      </c>
      <c r="I35" s="386">
        <f t="shared" si="19"/>
        <v>89959.716796875</v>
      </c>
    </row>
    <row r="36" spans="1:9" s="272" customFormat="1" hidden="1" x14ac:dyDescent="0.25">
      <c r="A36" s="253" t="s">
        <v>418</v>
      </c>
      <c r="B36" s="158"/>
      <c r="C36" s="158">
        <f t="shared" si="19"/>
        <v>0</v>
      </c>
      <c r="D36" s="239"/>
      <c r="E36" s="239">
        <f t="shared" si="16"/>
        <v>0</v>
      </c>
      <c r="F36" s="239">
        <v>0</v>
      </c>
      <c r="G36" s="158">
        <f t="shared" si="17"/>
        <v>0</v>
      </c>
      <c r="H36" s="158">
        <f t="shared" si="18"/>
        <v>0</v>
      </c>
      <c r="I36" s="386">
        <f t="shared" si="19"/>
        <v>0</v>
      </c>
    </row>
    <row r="37" spans="1:9" s="272" customFormat="1" x14ac:dyDescent="0.25">
      <c r="A37" s="253" t="s">
        <v>413</v>
      </c>
      <c r="B37" s="158">
        <v>20000</v>
      </c>
      <c r="C37" s="158">
        <f t="shared" si="19"/>
        <v>21250</v>
      </c>
      <c r="D37" s="239"/>
      <c r="E37" s="239">
        <f t="shared" si="16"/>
        <v>21250</v>
      </c>
      <c r="F37" s="239">
        <v>0</v>
      </c>
      <c r="G37" s="158">
        <f t="shared" si="17"/>
        <v>21250</v>
      </c>
      <c r="H37" s="158">
        <f t="shared" si="18"/>
        <v>22578.125</v>
      </c>
      <c r="I37" s="386">
        <f t="shared" si="19"/>
        <v>23989.2578125</v>
      </c>
    </row>
    <row r="38" spans="1:9" s="272" customFormat="1" x14ac:dyDescent="0.25">
      <c r="A38" s="424" t="s">
        <v>42</v>
      </c>
      <c r="B38" s="246">
        <f>SUM(B30:B37)</f>
        <v>343000</v>
      </c>
      <c r="C38" s="246">
        <f>SUM(C29:C37)</f>
        <v>411353.94500000001</v>
      </c>
      <c r="D38" s="246">
        <f>SUM(D29:D37)</f>
        <v>56822</v>
      </c>
      <c r="E38" s="246">
        <f>SUM(E29:E37)</f>
        <v>354531.94500000001</v>
      </c>
      <c r="F38" s="246">
        <f t="shared" ref="F38:G38" si="20">SUM(F29:F37)</f>
        <v>-1813</v>
      </c>
      <c r="G38" s="246">
        <f t="shared" si="20"/>
        <v>409540.94500000001</v>
      </c>
      <c r="H38" s="246">
        <f>SUM(H29:H37)</f>
        <v>437180.85767499998</v>
      </c>
      <c r="I38" s="246">
        <f>SUM(I29:I37)</f>
        <v>464629.57631450001</v>
      </c>
    </row>
    <row r="39" spans="1:9" s="272" customFormat="1" x14ac:dyDescent="0.25">
      <c r="A39" s="425"/>
      <c r="B39" s="158"/>
      <c r="C39" s="158"/>
      <c r="D39" s="239"/>
      <c r="E39" s="239"/>
      <c r="F39" s="239"/>
      <c r="G39" s="239"/>
      <c r="H39" s="239"/>
      <c r="I39" s="386">
        <f>H39*6.9%+H39</f>
        <v>0</v>
      </c>
    </row>
    <row r="40" spans="1:9" s="272" customFormat="1" ht="15.75" thickBot="1" x14ac:dyDescent="0.3">
      <c r="A40" s="426" t="s">
        <v>44</v>
      </c>
      <c r="B40" s="392">
        <f t="shared" ref="B40:I40" si="21">B12+B19+B23+B27+B38</f>
        <v>15635300</v>
      </c>
      <c r="C40" s="392">
        <f t="shared" si="21"/>
        <v>16613386.800000001</v>
      </c>
      <c r="D40" s="392">
        <f t="shared" si="21"/>
        <v>7868422</v>
      </c>
      <c r="E40" s="392">
        <f t="shared" si="21"/>
        <v>8744964.8000000007</v>
      </c>
      <c r="F40" s="392">
        <f t="shared" si="21"/>
        <v>1451968</v>
      </c>
      <c r="G40" s="392">
        <f t="shared" si="21"/>
        <v>18065354.800000001</v>
      </c>
      <c r="H40" s="392">
        <f t="shared" si="21"/>
        <v>17656658.551875003</v>
      </c>
      <c r="I40" s="393">
        <f t="shared" si="21"/>
        <v>18765455.568239063</v>
      </c>
    </row>
    <row r="41" spans="1:9" x14ac:dyDescent="0.25">
      <c r="A41" s="532"/>
      <c r="B41" s="366"/>
      <c r="C41" s="366"/>
      <c r="D41" s="366"/>
      <c r="E41" s="366"/>
      <c r="F41" s="366"/>
      <c r="G41" s="366"/>
      <c r="H41" s="366"/>
    </row>
    <row r="42" spans="1:9" x14ac:dyDescent="0.25">
      <c r="A42" s="532"/>
      <c r="B42" s="366"/>
      <c r="C42" s="366"/>
      <c r="D42" s="366"/>
      <c r="E42" s="366"/>
      <c r="F42" s="366"/>
      <c r="G42" s="366"/>
      <c r="H42" s="366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0" fitToHeight="2" orientation="landscape" r:id="rId1"/>
  <headerFooter alignWithMargins="0">
    <oddFooter>&amp;A&amp;RPage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I36"/>
  <sheetViews>
    <sheetView view="pageBreakPreview" zoomScale="60" zoomScaleNormal="93" workbookViewId="0">
      <selection activeCell="F29" sqref="F29"/>
    </sheetView>
  </sheetViews>
  <sheetFormatPr defaultColWidth="9.28515625" defaultRowHeight="15" x14ac:dyDescent="0.25"/>
  <cols>
    <col min="1" max="1" width="36.28515625" style="352" customWidth="1"/>
    <col min="2" max="2" width="12.28515625" style="247" hidden="1" customWidth="1"/>
    <col min="3" max="7" width="19.28515625" style="247" customWidth="1"/>
    <col min="8" max="8" width="15.28515625" style="247" customWidth="1"/>
    <col min="9" max="9" width="15.28515625" style="352" customWidth="1"/>
    <col min="10" max="16384" width="9.28515625" style="352"/>
  </cols>
  <sheetData>
    <row r="1" spans="1:9" s="272" customFormat="1" ht="18.75" x14ac:dyDescent="0.3">
      <c r="A1" s="515" t="s">
        <v>480</v>
      </c>
      <c r="B1" s="362"/>
      <c r="C1" s="362"/>
      <c r="D1" s="362"/>
      <c r="E1" s="362"/>
      <c r="F1" s="362"/>
      <c r="G1" s="362"/>
      <c r="H1" s="362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8.75" customHeight="1" thickBot="1" x14ac:dyDescent="0.3">
      <c r="A3" s="517" t="s">
        <v>39</v>
      </c>
      <c r="B3" s="539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08" t="s">
        <v>644</v>
      </c>
    </row>
    <row r="4" spans="1:9" s="272" customFormat="1" x14ac:dyDescent="0.25">
      <c r="A4" s="253" t="s">
        <v>2</v>
      </c>
      <c r="B4" s="358">
        <v>4958182</v>
      </c>
      <c r="C4" s="370">
        <f>B4*6.25%+B4</f>
        <v>5268068.375</v>
      </c>
      <c r="D4" s="370">
        <v>2088278</v>
      </c>
      <c r="E4" s="370">
        <f>C4-D4</f>
        <v>3179790.375</v>
      </c>
      <c r="F4" s="239">
        <v>-500000</v>
      </c>
      <c r="G4" s="370">
        <f>C4+F4</f>
        <v>4768068.375</v>
      </c>
      <c r="H4" s="370">
        <f t="shared" ref="H4:H10" si="0">C4*6.25%+C4</f>
        <v>5597322.6484375</v>
      </c>
      <c r="I4" s="386">
        <f>H4*6.25%+H4</f>
        <v>5947155.3139648438</v>
      </c>
    </row>
    <row r="5" spans="1:9" s="272" customFormat="1" x14ac:dyDescent="0.25">
      <c r="A5" s="253" t="s">
        <v>3</v>
      </c>
      <c r="B5" s="158">
        <v>413015</v>
      </c>
      <c r="C5" s="370">
        <f t="shared" ref="C5:I10" si="1">B5*6.25%+B5</f>
        <v>438828.4375</v>
      </c>
      <c r="D5" s="370">
        <v>120497</v>
      </c>
      <c r="E5" s="370">
        <f t="shared" ref="E5:E10" si="2">C5-D5</f>
        <v>318331.4375</v>
      </c>
      <c r="F5" s="239">
        <v>-80000</v>
      </c>
      <c r="G5" s="370">
        <f t="shared" ref="G5:G10" si="3">C5+F5</f>
        <v>358828.4375</v>
      </c>
      <c r="H5" s="370">
        <f t="shared" si="0"/>
        <v>466255.21484375</v>
      </c>
      <c r="I5" s="386">
        <f t="shared" si="1"/>
        <v>495396.16577148438</v>
      </c>
    </row>
    <row r="6" spans="1:9" s="272" customFormat="1" x14ac:dyDescent="0.25">
      <c r="A6" s="253" t="s">
        <v>17</v>
      </c>
      <c r="B6" s="158">
        <v>2346000</v>
      </c>
      <c r="C6" s="370">
        <f t="shared" si="1"/>
        <v>2492625</v>
      </c>
      <c r="D6" s="370">
        <v>3218912</v>
      </c>
      <c r="E6" s="370">
        <f t="shared" si="2"/>
        <v>-726287</v>
      </c>
      <c r="F6" s="724">
        <v>800000</v>
      </c>
      <c r="G6" s="370">
        <f t="shared" si="3"/>
        <v>3292625</v>
      </c>
      <c r="H6" s="370">
        <f t="shared" si="0"/>
        <v>2648414.0625</v>
      </c>
      <c r="I6" s="386">
        <f t="shared" si="1"/>
        <v>2813939.94140625</v>
      </c>
    </row>
    <row r="7" spans="1:9" s="272" customFormat="1" x14ac:dyDescent="0.25">
      <c r="A7" s="253" t="s">
        <v>4</v>
      </c>
      <c r="B7" s="158">
        <v>115200</v>
      </c>
      <c r="C7" s="370">
        <f t="shared" si="1"/>
        <v>122400</v>
      </c>
      <c r="D7" s="370">
        <v>12675</v>
      </c>
      <c r="E7" s="370">
        <f t="shared" si="2"/>
        <v>109725</v>
      </c>
      <c r="F7" s="239">
        <v>-50000</v>
      </c>
      <c r="G7" s="370">
        <f t="shared" si="3"/>
        <v>72400</v>
      </c>
      <c r="H7" s="370">
        <f t="shared" si="0"/>
        <v>130050</v>
      </c>
      <c r="I7" s="386">
        <f t="shared" si="1"/>
        <v>138178.125</v>
      </c>
    </row>
    <row r="8" spans="1:9" s="272" customFormat="1" x14ac:dyDescent="0.25">
      <c r="A8" s="253" t="s">
        <v>172</v>
      </c>
      <c r="B8" s="158">
        <v>657000</v>
      </c>
      <c r="C8" s="370">
        <f t="shared" si="1"/>
        <v>698062.5</v>
      </c>
      <c r="D8" s="370">
        <v>43769</v>
      </c>
      <c r="E8" s="370">
        <f t="shared" si="2"/>
        <v>654293.5</v>
      </c>
      <c r="F8" s="239">
        <v>-300000</v>
      </c>
      <c r="G8" s="370">
        <f t="shared" si="3"/>
        <v>398062.5</v>
      </c>
      <c r="H8" s="370">
        <f t="shared" si="0"/>
        <v>741691.40625</v>
      </c>
      <c r="I8" s="386">
        <f t="shared" si="1"/>
        <v>788047.119140625</v>
      </c>
    </row>
    <row r="9" spans="1:9" s="272" customFormat="1" x14ac:dyDescent="0.25">
      <c r="A9" s="253" t="s">
        <v>173</v>
      </c>
      <c r="B9" s="158"/>
      <c r="C9" s="370">
        <v>383964</v>
      </c>
      <c r="D9" s="370">
        <v>14598</v>
      </c>
      <c r="E9" s="370">
        <f t="shared" si="2"/>
        <v>369366</v>
      </c>
      <c r="F9" s="239">
        <v>-120000</v>
      </c>
      <c r="G9" s="370">
        <f t="shared" si="3"/>
        <v>263964</v>
      </c>
      <c r="H9" s="370">
        <f t="shared" si="0"/>
        <v>407961.75</v>
      </c>
      <c r="I9" s="386">
        <f>H9*6.25%+H9</f>
        <v>433459.359375</v>
      </c>
    </row>
    <row r="10" spans="1:9" s="272" customFormat="1" x14ac:dyDescent="0.25">
      <c r="A10" s="253" t="s">
        <v>559</v>
      </c>
      <c r="B10" s="158">
        <v>482977</v>
      </c>
      <c r="C10" s="370">
        <f>B10*6.25%+B10</f>
        <v>513163.0625</v>
      </c>
      <c r="D10" s="370">
        <v>181845</v>
      </c>
      <c r="E10" s="370">
        <f t="shared" si="2"/>
        <v>331318.0625</v>
      </c>
      <c r="F10" s="239">
        <v>-80000</v>
      </c>
      <c r="G10" s="370">
        <f t="shared" si="3"/>
        <v>433163.0625</v>
      </c>
      <c r="H10" s="370">
        <f t="shared" si="0"/>
        <v>545235.75390625</v>
      </c>
      <c r="I10" s="386">
        <f t="shared" si="1"/>
        <v>579312.98852539063</v>
      </c>
    </row>
    <row r="11" spans="1:9" s="272" customFormat="1" x14ac:dyDescent="0.25">
      <c r="A11" s="424" t="s">
        <v>40</v>
      </c>
      <c r="B11" s="246">
        <f>SUM(B4:B10)</f>
        <v>8972374</v>
      </c>
      <c r="C11" s="351">
        <f>SUM(C4:C10)</f>
        <v>9917111.375</v>
      </c>
      <c r="D11" s="351">
        <f>SUM(D4:D10)</f>
        <v>5680574</v>
      </c>
      <c r="E11" s="351">
        <f>SUM(E4:E10)</f>
        <v>4236537.375</v>
      </c>
      <c r="F11" s="351">
        <f t="shared" ref="F11:G11" si="4">SUM(F4:F10)</f>
        <v>-330000</v>
      </c>
      <c r="G11" s="351">
        <f t="shared" si="4"/>
        <v>9587111.375</v>
      </c>
      <c r="H11" s="351">
        <f>SUM(H4:H10)</f>
        <v>10536930.8359375</v>
      </c>
      <c r="I11" s="387">
        <f>SUM(I4:I10)</f>
        <v>11195489.013183594</v>
      </c>
    </row>
    <row r="12" spans="1:9" s="272" customFormat="1" x14ac:dyDescent="0.25">
      <c r="A12" s="253"/>
      <c r="B12" s="158"/>
      <c r="C12" s="239"/>
      <c r="D12" s="239"/>
      <c r="E12" s="239"/>
      <c r="F12" s="239"/>
      <c r="G12" s="239"/>
      <c r="H12" s="158"/>
      <c r="I12" s="386"/>
    </row>
    <row r="13" spans="1:9" s="272" customFormat="1" x14ac:dyDescent="0.25">
      <c r="A13" s="253" t="s">
        <v>6</v>
      </c>
      <c r="B13" s="158">
        <v>913860</v>
      </c>
      <c r="C13" s="370">
        <f>B13*6.25%+B13</f>
        <v>970976.25</v>
      </c>
      <c r="D13" s="370">
        <v>254546</v>
      </c>
      <c r="E13" s="370">
        <f t="shared" ref="E13:E15" si="5">C13-D13</f>
        <v>716430.25</v>
      </c>
      <c r="F13" s="239">
        <v>-400000</v>
      </c>
      <c r="G13" s="370">
        <f t="shared" ref="G13:G16" si="6">C13+F13</f>
        <v>570976.25</v>
      </c>
      <c r="H13" s="370">
        <f>C13*6.25%+C13</f>
        <v>1031662.265625</v>
      </c>
      <c r="I13" s="386">
        <f>H13*6.25%+H13</f>
        <v>1096141.1572265625</v>
      </c>
    </row>
    <row r="14" spans="1:9" s="272" customFormat="1" x14ac:dyDescent="0.25">
      <c r="A14" s="253" t="s">
        <v>7</v>
      </c>
      <c r="B14" s="158">
        <v>49562</v>
      </c>
      <c r="C14" s="370">
        <f t="shared" ref="C14:I15" si="7">B14*6.25%+B14</f>
        <v>52659.625</v>
      </c>
      <c r="D14" s="370">
        <v>11302</v>
      </c>
      <c r="E14" s="370">
        <f t="shared" si="5"/>
        <v>41357.625</v>
      </c>
      <c r="F14" s="239">
        <v>-20000</v>
      </c>
      <c r="G14" s="370">
        <f t="shared" si="6"/>
        <v>32659.625</v>
      </c>
      <c r="H14" s="370">
        <f>C14*6.25%+C14</f>
        <v>55950.8515625</v>
      </c>
      <c r="I14" s="371">
        <f t="shared" si="7"/>
        <v>59447.77978515625</v>
      </c>
    </row>
    <row r="15" spans="1:9" s="272" customFormat="1" x14ac:dyDescent="0.25">
      <c r="A15" s="253" t="s">
        <v>53</v>
      </c>
      <c r="B15" s="158">
        <v>1090360</v>
      </c>
      <c r="C15" s="370">
        <f t="shared" si="7"/>
        <v>1158507.5</v>
      </c>
      <c r="D15" s="370">
        <v>381968</v>
      </c>
      <c r="E15" s="370">
        <f t="shared" si="5"/>
        <v>776539.5</v>
      </c>
      <c r="F15" s="239">
        <v>-200000</v>
      </c>
      <c r="G15" s="370">
        <f t="shared" si="6"/>
        <v>958507.5</v>
      </c>
      <c r="H15" s="370">
        <f>C15*6.25%+C15</f>
        <v>1230914.21875</v>
      </c>
      <c r="I15" s="371">
        <f t="shared" si="7"/>
        <v>1307846.357421875</v>
      </c>
    </row>
    <row r="16" spans="1:9" s="272" customFormat="1" x14ac:dyDescent="0.25">
      <c r="A16" s="785" t="s">
        <v>872</v>
      </c>
      <c r="B16" s="158">
        <v>49562</v>
      </c>
      <c r="F16" s="272">
        <v>810</v>
      </c>
      <c r="G16" s="370">
        <f t="shared" si="6"/>
        <v>810</v>
      </c>
    </row>
    <row r="17" spans="1:9" s="272" customFormat="1" x14ac:dyDescent="0.25">
      <c r="A17" s="424" t="s">
        <v>41</v>
      </c>
      <c r="B17" s="246">
        <f>SUM(B13:B16)</f>
        <v>2103344</v>
      </c>
      <c r="C17" s="351">
        <f>SUM(C13:C16)</f>
        <v>2182143.375</v>
      </c>
      <c r="D17" s="351">
        <f t="shared" ref="D17:G17" si="8">SUM(D13:D16)</f>
        <v>647816</v>
      </c>
      <c r="E17" s="351">
        <f t="shared" si="8"/>
        <v>1534327.375</v>
      </c>
      <c r="F17" s="351">
        <f t="shared" si="8"/>
        <v>-619190</v>
      </c>
      <c r="G17" s="351">
        <f t="shared" si="8"/>
        <v>1562953.375</v>
      </c>
      <c r="H17" s="351">
        <f>SUM(H13:H15)</f>
        <v>2318527.3359375</v>
      </c>
      <c r="I17" s="351">
        <f>SUM(I13:I15)</f>
        <v>2463435.2944335938</v>
      </c>
    </row>
    <row r="18" spans="1:9" s="272" customFormat="1" x14ac:dyDescent="0.25">
      <c r="A18" s="253"/>
      <c r="B18" s="246"/>
      <c r="C18" s="351"/>
      <c r="D18" s="351"/>
      <c r="E18" s="351"/>
      <c r="F18" s="351"/>
      <c r="G18" s="351"/>
      <c r="H18" s="351"/>
      <c r="I18" s="351"/>
    </row>
    <row r="19" spans="1:9" s="272" customFormat="1" x14ac:dyDescent="0.25">
      <c r="A19" s="253"/>
      <c r="B19" s="158"/>
      <c r="C19" s="239"/>
      <c r="D19" s="239"/>
      <c r="E19" s="239"/>
      <c r="F19" s="239"/>
      <c r="G19" s="239"/>
      <c r="H19" s="158"/>
      <c r="I19" s="386"/>
    </row>
    <row r="20" spans="1:9" s="272" customFormat="1" x14ac:dyDescent="0.25">
      <c r="A20" s="253" t="s">
        <v>31</v>
      </c>
      <c r="B20" s="158">
        <v>15000</v>
      </c>
      <c r="C20" s="370">
        <f t="shared" ref="C20:I21" si="9">B20*6.25%+B20</f>
        <v>15937.5</v>
      </c>
      <c r="D20" s="370"/>
      <c r="E20" s="370">
        <f t="shared" ref="E20:E21" si="10">C20-D20</f>
        <v>15937.5</v>
      </c>
      <c r="F20" s="239">
        <v>0</v>
      </c>
      <c r="G20" s="370">
        <f t="shared" ref="G20:G21" si="11">C20+F20</f>
        <v>15937.5</v>
      </c>
      <c r="H20" s="370">
        <f>C20*6.25%+C20</f>
        <v>16933.59375</v>
      </c>
      <c r="I20" s="371">
        <f t="shared" si="9"/>
        <v>17991.943359375</v>
      </c>
    </row>
    <row r="21" spans="1:9" s="272" customFormat="1" x14ac:dyDescent="0.25">
      <c r="A21" s="253" t="s">
        <v>20</v>
      </c>
      <c r="B21" s="158">
        <v>190000</v>
      </c>
      <c r="C21" s="370">
        <f t="shared" si="9"/>
        <v>201875</v>
      </c>
      <c r="D21" s="370">
        <v>52500</v>
      </c>
      <c r="E21" s="370">
        <f t="shared" si="10"/>
        <v>149375</v>
      </c>
      <c r="F21" s="239">
        <v>0</v>
      </c>
      <c r="G21" s="370">
        <f t="shared" si="11"/>
        <v>201875</v>
      </c>
      <c r="H21" s="370">
        <f>C21*6.25%+C21</f>
        <v>214492.1875</v>
      </c>
      <c r="I21" s="371">
        <f t="shared" si="9"/>
        <v>227897.94921875</v>
      </c>
    </row>
    <row r="22" spans="1:9" s="272" customFormat="1" x14ac:dyDescent="0.25">
      <c r="A22" s="424" t="s">
        <v>43</v>
      </c>
      <c r="B22" s="246">
        <f>SUM(B20:B21)</f>
        <v>205000</v>
      </c>
      <c r="C22" s="351">
        <f>SUM(C20:C21)</f>
        <v>217812.5</v>
      </c>
      <c r="D22" s="351">
        <f>SUM(D20:D21)</f>
        <v>52500</v>
      </c>
      <c r="E22" s="351">
        <f>SUM(E20:E21)</f>
        <v>165312.5</v>
      </c>
      <c r="F22" s="351">
        <f t="shared" ref="F22:G22" si="12">SUM(F20:F21)</f>
        <v>0</v>
      </c>
      <c r="G22" s="351">
        <f t="shared" si="12"/>
        <v>217812.5</v>
      </c>
      <c r="H22" s="351">
        <f>SUM(H20:H21)</f>
        <v>231425.78125</v>
      </c>
      <c r="I22" s="387">
        <f>SUM(I20:I21)</f>
        <v>245889.892578125</v>
      </c>
    </row>
    <row r="23" spans="1:9" s="272" customFormat="1" x14ac:dyDescent="0.25">
      <c r="A23" s="253"/>
      <c r="B23" s="246"/>
      <c r="C23" s="351"/>
      <c r="D23" s="351"/>
      <c r="E23" s="351"/>
      <c r="F23" s="351"/>
      <c r="G23" s="351"/>
      <c r="H23" s="351"/>
      <c r="I23" s="387"/>
    </row>
    <row r="24" spans="1:9" s="272" customFormat="1" x14ac:dyDescent="0.25">
      <c r="A24" s="253" t="s">
        <v>9</v>
      </c>
      <c r="B24" s="246"/>
      <c r="C24" s="370">
        <f>B16*6.25%+B16</f>
        <v>52659.625</v>
      </c>
      <c r="D24" s="370">
        <v>18304</v>
      </c>
      <c r="E24" s="370">
        <f t="shared" ref="E24:E31" si="13">C24-D24</f>
        <v>34355.625</v>
      </c>
      <c r="F24" s="239">
        <v>0</v>
      </c>
      <c r="G24" s="370">
        <f t="shared" ref="G24:G31" si="14">C24+F24</f>
        <v>52659.625</v>
      </c>
      <c r="H24" s="370">
        <f t="shared" ref="H24:H31" si="15">C24*6.25%+C24</f>
        <v>55950.8515625</v>
      </c>
      <c r="I24" s="371">
        <f>H24*6.25%+H24</f>
        <v>59447.77978515625</v>
      </c>
    </row>
    <row r="25" spans="1:9" s="252" customFormat="1" x14ac:dyDescent="0.25">
      <c r="A25" s="271" t="s">
        <v>361</v>
      </c>
      <c r="B25" s="158">
        <v>6000</v>
      </c>
      <c r="C25" s="370">
        <f>B25*6.25%+B25</f>
        <v>6375</v>
      </c>
      <c r="D25" s="370"/>
      <c r="E25" s="370">
        <f t="shared" si="13"/>
        <v>6375</v>
      </c>
      <c r="F25" s="239">
        <v>0</v>
      </c>
      <c r="G25" s="370">
        <f t="shared" si="14"/>
        <v>6375</v>
      </c>
      <c r="H25" s="370">
        <f t="shared" si="15"/>
        <v>6773.4375</v>
      </c>
      <c r="I25" s="371">
        <f>H25*6.25%+H25</f>
        <v>7196.77734375</v>
      </c>
    </row>
    <row r="26" spans="1:9" s="252" customFormat="1" x14ac:dyDescent="0.25">
      <c r="A26" s="271" t="s">
        <v>24</v>
      </c>
      <c r="B26" s="158">
        <v>130000</v>
      </c>
      <c r="C26" s="370">
        <f t="shared" ref="C26:I31" si="16">B26*6.25%+B26</f>
        <v>138125</v>
      </c>
      <c r="D26" s="370"/>
      <c r="E26" s="370">
        <f t="shared" si="13"/>
        <v>138125</v>
      </c>
      <c r="F26" s="239">
        <v>0</v>
      </c>
      <c r="G26" s="370">
        <f t="shared" si="14"/>
        <v>138125</v>
      </c>
      <c r="H26" s="370">
        <f t="shared" si="15"/>
        <v>146757.8125</v>
      </c>
      <c r="I26" s="371">
        <f t="shared" si="16"/>
        <v>155930.17578125</v>
      </c>
    </row>
    <row r="27" spans="1:9" s="272" customFormat="1" x14ac:dyDescent="0.25">
      <c r="A27" s="253" t="s">
        <v>63</v>
      </c>
      <c r="B27" s="158">
        <v>17000</v>
      </c>
      <c r="C27" s="370">
        <f t="shared" si="16"/>
        <v>18062.5</v>
      </c>
      <c r="D27" s="370">
        <v>10000</v>
      </c>
      <c r="E27" s="370">
        <f t="shared" si="13"/>
        <v>8062.5</v>
      </c>
      <c r="F27" s="239">
        <v>0</v>
      </c>
      <c r="G27" s="370">
        <f t="shared" si="14"/>
        <v>18062.5</v>
      </c>
      <c r="H27" s="370">
        <f t="shared" si="15"/>
        <v>19191.40625</v>
      </c>
      <c r="I27" s="371">
        <f t="shared" si="16"/>
        <v>20390.869140625</v>
      </c>
    </row>
    <row r="28" spans="1:9" s="272" customFormat="1" x14ac:dyDescent="0.25">
      <c r="A28" s="253" t="s">
        <v>59</v>
      </c>
      <c r="B28" s="158">
        <v>45000</v>
      </c>
      <c r="C28" s="370">
        <f t="shared" si="16"/>
        <v>47812.5</v>
      </c>
      <c r="D28" s="370"/>
      <c r="E28" s="370">
        <f t="shared" si="13"/>
        <v>47812.5</v>
      </c>
      <c r="F28" s="239">
        <v>-7813</v>
      </c>
      <c r="G28" s="370">
        <f t="shared" si="14"/>
        <v>39999.5</v>
      </c>
      <c r="H28" s="370">
        <f t="shared" si="15"/>
        <v>50800.78125</v>
      </c>
      <c r="I28" s="371">
        <f t="shared" si="16"/>
        <v>53975.830078125</v>
      </c>
    </row>
    <row r="29" spans="1:9" s="272" customFormat="1" x14ac:dyDescent="0.25">
      <c r="A29" s="253" t="s">
        <v>51</v>
      </c>
      <c r="B29" s="158">
        <f>100000/2</f>
        <v>50000</v>
      </c>
      <c r="C29" s="370">
        <f t="shared" si="16"/>
        <v>53125</v>
      </c>
      <c r="D29" s="370">
        <v>6071</v>
      </c>
      <c r="E29" s="370">
        <f t="shared" si="13"/>
        <v>47054</v>
      </c>
      <c r="F29" s="239">
        <v>-7000</v>
      </c>
      <c r="G29" s="370">
        <f t="shared" si="14"/>
        <v>46125</v>
      </c>
      <c r="H29" s="370">
        <f t="shared" si="15"/>
        <v>56445.3125</v>
      </c>
      <c r="I29" s="371">
        <f t="shared" si="16"/>
        <v>59973.14453125</v>
      </c>
    </row>
    <row r="30" spans="1:9" s="272" customFormat="1" x14ac:dyDescent="0.25">
      <c r="A30" s="253" t="s">
        <v>10</v>
      </c>
      <c r="B30" s="158">
        <v>50000</v>
      </c>
      <c r="C30" s="370">
        <f t="shared" si="16"/>
        <v>53125</v>
      </c>
      <c r="D30" s="370"/>
      <c r="E30" s="370">
        <f t="shared" si="13"/>
        <v>53125</v>
      </c>
      <c r="F30" s="239">
        <v>-20000</v>
      </c>
      <c r="G30" s="370">
        <f t="shared" si="14"/>
        <v>33125</v>
      </c>
      <c r="H30" s="370">
        <f t="shared" si="15"/>
        <v>56445.3125</v>
      </c>
      <c r="I30" s="371">
        <f t="shared" si="16"/>
        <v>59973.14453125</v>
      </c>
    </row>
    <row r="31" spans="1:9" s="272" customFormat="1" x14ac:dyDescent="0.25">
      <c r="A31" s="253" t="s">
        <v>413</v>
      </c>
      <c r="B31" s="158">
        <v>20000</v>
      </c>
      <c r="C31" s="370">
        <f t="shared" si="16"/>
        <v>21250</v>
      </c>
      <c r="D31" s="370"/>
      <c r="E31" s="370">
        <f t="shared" si="13"/>
        <v>21250</v>
      </c>
      <c r="F31" s="239">
        <v>0</v>
      </c>
      <c r="G31" s="370">
        <f t="shared" si="14"/>
        <v>21250</v>
      </c>
      <c r="H31" s="370">
        <f t="shared" si="15"/>
        <v>22578.125</v>
      </c>
      <c r="I31" s="371">
        <f t="shared" si="16"/>
        <v>23989.2578125</v>
      </c>
    </row>
    <row r="32" spans="1:9" s="272" customFormat="1" x14ac:dyDescent="0.25">
      <c r="A32" s="424" t="s">
        <v>42</v>
      </c>
      <c r="B32" s="246">
        <f>SUM(B25:B31)</f>
        <v>318000</v>
      </c>
      <c r="C32" s="351">
        <f>SUM(C24:C31)</f>
        <v>390534.625</v>
      </c>
      <c r="D32" s="351">
        <f>SUM(D24:D31)</f>
        <v>34375</v>
      </c>
      <c r="E32" s="351">
        <f>SUM(E24:E31)</f>
        <v>356159.625</v>
      </c>
      <c r="F32" s="351">
        <f t="shared" ref="F32:G32" si="17">SUM(F24:F31)</f>
        <v>-34813</v>
      </c>
      <c r="G32" s="351">
        <f t="shared" si="17"/>
        <v>355721.625</v>
      </c>
      <c r="H32" s="351">
        <f>SUM(H24:H31)</f>
        <v>414943.0390625</v>
      </c>
      <c r="I32" s="351">
        <f>SUM(I24:I31)</f>
        <v>440876.97900390625</v>
      </c>
    </row>
    <row r="33" spans="1:9" s="272" customFormat="1" x14ac:dyDescent="0.25">
      <c r="A33" s="425"/>
      <c r="B33" s="158"/>
      <c r="C33" s="239"/>
      <c r="D33" s="239"/>
      <c r="E33" s="239"/>
      <c r="F33" s="239"/>
      <c r="G33" s="239"/>
      <c r="H33" s="158"/>
      <c r="I33" s="386"/>
    </row>
    <row r="34" spans="1:9" s="272" customFormat="1" ht="15.75" thickBot="1" x14ac:dyDescent="0.3">
      <c r="A34" s="426" t="s">
        <v>44</v>
      </c>
      <c r="B34" s="392">
        <f>B11+B17+B22+B32</f>
        <v>11598718</v>
      </c>
      <c r="C34" s="422">
        <f>C11+C17+C22+C32</f>
        <v>12707601.875</v>
      </c>
      <c r="D34" s="422">
        <f>D11+D17+D22+D32</f>
        <v>6415265</v>
      </c>
      <c r="E34" s="422">
        <f>E11+E17+E22+E32</f>
        <v>6292336.875</v>
      </c>
      <c r="F34" s="422">
        <f t="shared" ref="F34:G34" si="18">F11+F17+F22+F32</f>
        <v>-984003</v>
      </c>
      <c r="G34" s="422">
        <f t="shared" si="18"/>
        <v>11723598.875</v>
      </c>
      <c r="H34" s="422">
        <f>H11+H17+H22+H32</f>
        <v>13501826.9921875</v>
      </c>
      <c r="I34" s="422">
        <f>I11+I17+I22+I32</f>
        <v>14345691.179199219</v>
      </c>
    </row>
    <row r="35" spans="1:9" x14ac:dyDescent="0.25">
      <c r="A35" s="532"/>
      <c r="B35" s="366"/>
      <c r="C35" s="366"/>
      <c r="D35" s="366"/>
      <c r="E35" s="366"/>
      <c r="F35" s="366"/>
      <c r="G35" s="366"/>
      <c r="H35" s="366"/>
    </row>
    <row r="36" spans="1:9" x14ac:dyDescent="0.25">
      <c r="A36" s="532"/>
      <c r="B36" s="366"/>
      <c r="C36" s="366"/>
      <c r="D36" s="366"/>
      <c r="E36" s="366"/>
      <c r="F36" s="366"/>
      <c r="G36" s="366"/>
      <c r="H36" s="36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&amp;A&amp;RPage &amp;P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I38"/>
  <sheetViews>
    <sheetView view="pageBreakPreview" zoomScale="60" zoomScaleNormal="100" workbookViewId="0">
      <selection activeCell="F30" sqref="F30"/>
    </sheetView>
  </sheetViews>
  <sheetFormatPr defaultColWidth="9.28515625" defaultRowHeight="15" x14ac:dyDescent="0.25"/>
  <cols>
    <col min="1" max="1" width="41.7109375" style="352" customWidth="1"/>
    <col min="2" max="2" width="18" style="247" hidden="1" customWidth="1"/>
    <col min="3" max="7" width="19.28515625" style="548" customWidth="1"/>
    <col min="8" max="8" width="18.7109375" style="548" customWidth="1"/>
    <col min="9" max="9" width="18.85546875" style="352" customWidth="1"/>
    <col min="10" max="16384" width="9.28515625" style="352"/>
  </cols>
  <sheetData>
    <row r="1" spans="1:9" s="272" customFormat="1" ht="18.75" x14ac:dyDescent="0.3">
      <c r="A1" s="515" t="s">
        <v>481</v>
      </c>
      <c r="B1" s="362"/>
      <c r="C1" s="540"/>
      <c r="D1" s="540"/>
      <c r="E1" s="540"/>
      <c r="F1" s="540"/>
      <c r="G1" s="540"/>
      <c r="H1" s="540"/>
    </row>
    <row r="2" spans="1:9" s="272" customFormat="1" ht="15.75" thickBot="1" x14ac:dyDescent="0.3">
      <c r="B2" s="243"/>
      <c r="C2" s="541"/>
      <c r="D2" s="541"/>
      <c r="E2" s="541"/>
      <c r="F2" s="541"/>
      <c r="G2" s="541"/>
      <c r="H2" s="541"/>
    </row>
    <row r="3" spans="1:9" s="272" customFormat="1" ht="44.25" customHeight="1" thickBot="1" x14ac:dyDescent="0.3">
      <c r="A3" s="711" t="s">
        <v>39</v>
      </c>
      <c r="B3" s="542" t="s">
        <v>393</v>
      </c>
      <c r="C3" s="542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42" t="s">
        <v>556</v>
      </c>
      <c r="I3" s="385" t="s">
        <v>644</v>
      </c>
    </row>
    <row r="4" spans="1:9" s="272" customFormat="1" x14ac:dyDescent="0.25">
      <c r="A4" s="425" t="s">
        <v>2</v>
      </c>
      <c r="B4" s="158">
        <v>4373939</v>
      </c>
      <c r="C4" s="543">
        <f>B4*6.25%+B4</f>
        <v>4647310.1875</v>
      </c>
      <c r="D4" s="543">
        <v>1534509</v>
      </c>
      <c r="E4" s="543">
        <f>C4-D4</f>
        <v>3112801.1875</v>
      </c>
      <c r="F4" s="239">
        <v>-600000</v>
      </c>
      <c r="G4" s="543">
        <f>C4+F4</f>
        <v>4047310.1875</v>
      </c>
      <c r="H4" s="543">
        <f t="shared" ref="H4:H11" si="0">C4*6.25%+C4</f>
        <v>4937767.07421875</v>
      </c>
      <c r="I4" s="544">
        <f>H4*6.25%+H4</f>
        <v>5246377.5163574219</v>
      </c>
    </row>
    <row r="5" spans="1:9" s="272" customFormat="1" x14ac:dyDescent="0.25">
      <c r="A5" s="425" t="s">
        <v>3</v>
      </c>
      <c r="B5" s="158">
        <v>364495</v>
      </c>
      <c r="C5" s="543">
        <f t="shared" ref="C5:I11" si="1">B5*6.25%+B5</f>
        <v>387275.9375</v>
      </c>
      <c r="D5" s="543">
        <v>153660</v>
      </c>
      <c r="E5" s="543">
        <f t="shared" ref="E5:E11" si="2">C5-D5</f>
        <v>233615.9375</v>
      </c>
      <c r="F5" s="239">
        <v>0</v>
      </c>
      <c r="G5" s="543">
        <f t="shared" ref="G5:G11" si="3">C5+F5</f>
        <v>387275.9375</v>
      </c>
      <c r="H5" s="543">
        <f t="shared" si="0"/>
        <v>411480.68359375</v>
      </c>
      <c r="I5" s="544">
        <f t="shared" si="1"/>
        <v>437198.22631835938</v>
      </c>
    </row>
    <row r="6" spans="1:9" s="272" customFormat="1" x14ac:dyDescent="0.25">
      <c r="A6" s="425" t="s">
        <v>17</v>
      </c>
      <c r="B6" s="158">
        <v>1956000</v>
      </c>
      <c r="C6" s="543">
        <f t="shared" si="1"/>
        <v>2078250</v>
      </c>
      <c r="D6" s="543">
        <v>2358199</v>
      </c>
      <c r="E6" s="543">
        <f t="shared" si="2"/>
        <v>-279949</v>
      </c>
      <c r="F6" s="724">
        <v>280000</v>
      </c>
      <c r="G6" s="543">
        <f t="shared" si="3"/>
        <v>2358250</v>
      </c>
      <c r="H6" s="543">
        <f t="shared" si="0"/>
        <v>2208140.625</v>
      </c>
      <c r="I6" s="544">
        <f t="shared" si="1"/>
        <v>2346149.4140625</v>
      </c>
    </row>
    <row r="7" spans="1:9" s="272" customFormat="1" x14ac:dyDescent="0.25">
      <c r="A7" s="425" t="s">
        <v>172</v>
      </c>
      <c r="B7" s="158">
        <v>200000</v>
      </c>
      <c r="C7" s="543">
        <f t="shared" si="1"/>
        <v>212500</v>
      </c>
      <c r="D7" s="543">
        <v>27467</v>
      </c>
      <c r="E7" s="543">
        <f t="shared" si="2"/>
        <v>185033</v>
      </c>
      <c r="F7" s="239">
        <v>0</v>
      </c>
      <c r="G7" s="543">
        <f t="shared" si="3"/>
        <v>212500</v>
      </c>
      <c r="H7" s="543">
        <f t="shared" si="0"/>
        <v>225781.25</v>
      </c>
      <c r="I7" s="544">
        <f t="shared" si="1"/>
        <v>239892.578125</v>
      </c>
    </row>
    <row r="8" spans="1:9" s="272" customFormat="1" x14ac:dyDescent="0.25">
      <c r="A8" s="425" t="s">
        <v>809</v>
      </c>
      <c r="B8" s="158"/>
      <c r="C8" s="543">
        <v>0</v>
      </c>
      <c r="D8" s="543">
        <v>102868</v>
      </c>
      <c r="E8" s="543">
        <f t="shared" si="2"/>
        <v>-102868</v>
      </c>
      <c r="F8" s="724">
        <f>14696*12</f>
        <v>176352</v>
      </c>
      <c r="G8" s="543">
        <f t="shared" si="3"/>
        <v>176352</v>
      </c>
      <c r="H8" s="543"/>
      <c r="I8" s="544"/>
    </row>
    <row r="9" spans="1:9" s="272" customFormat="1" x14ac:dyDescent="0.25">
      <c r="A9" s="425" t="s">
        <v>4</v>
      </c>
      <c r="B9" s="158">
        <v>163200</v>
      </c>
      <c r="C9" s="543">
        <f t="shared" si="1"/>
        <v>173400</v>
      </c>
      <c r="D9" s="543">
        <v>753</v>
      </c>
      <c r="E9" s="543">
        <f t="shared" si="2"/>
        <v>172647</v>
      </c>
      <c r="F9" s="239">
        <v>-60000</v>
      </c>
      <c r="G9" s="543">
        <f t="shared" si="3"/>
        <v>113400</v>
      </c>
      <c r="H9" s="543">
        <f t="shared" si="0"/>
        <v>184237.5</v>
      </c>
      <c r="I9" s="544">
        <f t="shared" si="1"/>
        <v>195752.34375</v>
      </c>
    </row>
    <row r="10" spans="1:9" s="272" customFormat="1" x14ac:dyDescent="0.25">
      <c r="A10" s="425" t="s">
        <v>173</v>
      </c>
      <c r="B10" s="158"/>
      <c r="C10" s="543">
        <v>384667</v>
      </c>
      <c r="D10" s="543">
        <v>13484</v>
      </c>
      <c r="E10" s="543">
        <f t="shared" si="2"/>
        <v>371183</v>
      </c>
      <c r="F10" s="239">
        <v>0</v>
      </c>
      <c r="G10" s="543">
        <f t="shared" si="3"/>
        <v>384667</v>
      </c>
      <c r="H10" s="543">
        <f t="shared" si="0"/>
        <v>408708.6875</v>
      </c>
      <c r="I10" s="544">
        <f>H10*6.25%+H10</f>
        <v>434252.98046875</v>
      </c>
    </row>
    <row r="11" spans="1:9" s="272" customFormat="1" x14ac:dyDescent="0.25">
      <c r="A11" s="425" t="s">
        <v>30</v>
      </c>
      <c r="B11" s="158">
        <v>300000</v>
      </c>
      <c r="C11" s="543">
        <f t="shared" si="1"/>
        <v>318750</v>
      </c>
      <c r="D11" s="543">
        <v>143138</v>
      </c>
      <c r="E11" s="543">
        <f t="shared" si="2"/>
        <v>175612</v>
      </c>
      <c r="F11" s="239">
        <v>0</v>
      </c>
      <c r="G11" s="543">
        <f t="shared" si="3"/>
        <v>318750</v>
      </c>
      <c r="H11" s="543">
        <f t="shared" si="0"/>
        <v>338671.875</v>
      </c>
      <c r="I11" s="544">
        <f t="shared" si="1"/>
        <v>359838.8671875</v>
      </c>
    </row>
    <row r="12" spans="1:9" s="272" customFormat="1" x14ac:dyDescent="0.25">
      <c r="A12" s="424" t="s">
        <v>40</v>
      </c>
      <c r="B12" s="246">
        <f>SUM(B4:B11)</f>
        <v>7357634</v>
      </c>
      <c r="C12" s="351">
        <f>SUM(C4:C11)</f>
        <v>8202153.125</v>
      </c>
      <c r="D12" s="351">
        <f>SUM(D4:D11)</f>
        <v>4334078</v>
      </c>
      <c r="E12" s="351">
        <f>SUM(E4:E11)</f>
        <v>3868075.125</v>
      </c>
      <c r="F12" s="351">
        <f t="shared" ref="F12:G12" si="4">SUM(F4:F11)</f>
        <v>-203648</v>
      </c>
      <c r="G12" s="351">
        <f t="shared" si="4"/>
        <v>7998505.125</v>
      </c>
      <c r="H12" s="351">
        <f>SUM(H4:H11)</f>
        <v>8714787.6953125</v>
      </c>
      <c r="I12" s="387">
        <f>SUM(I4:I11)</f>
        <v>9259461.9262695313</v>
      </c>
    </row>
    <row r="13" spans="1:9" s="272" customFormat="1" x14ac:dyDescent="0.25">
      <c r="A13" s="425"/>
      <c r="B13" s="158"/>
      <c r="C13" s="543"/>
      <c r="D13" s="543"/>
      <c r="E13" s="543"/>
      <c r="F13" s="543"/>
      <c r="G13" s="543"/>
      <c r="H13" s="545"/>
      <c r="I13" s="544"/>
    </row>
    <row r="14" spans="1:9" s="272" customFormat="1" x14ac:dyDescent="0.25">
      <c r="A14" s="425" t="s">
        <v>6</v>
      </c>
      <c r="B14" s="158">
        <v>789684</v>
      </c>
      <c r="C14" s="543">
        <f>B14*6.25%+B14</f>
        <v>839039.25</v>
      </c>
      <c r="D14" s="543">
        <v>218379</v>
      </c>
      <c r="E14" s="543">
        <f t="shared" ref="E14:E17" si="5">C14-D14</f>
        <v>620660.25</v>
      </c>
      <c r="F14" s="239">
        <v>-300000</v>
      </c>
      <c r="G14" s="543">
        <f t="shared" ref="G14:G18" si="6">C14+F14</f>
        <v>539039.25</v>
      </c>
      <c r="H14" s="543">
        <f>C14*6.25%+C14</f>
        <v>891479.203125</v>
      </c>
      <c r="I14" s="544">
        <f>H14*6.25%+H14</f>
        <v>947196.6533203125</v>
      </c>
    </row>
    <row r="15" spans="1:9" s="272" customFormat="1" x14ac:dyDescent="0.25">
      <c r="A15" s="425" t="s">
        <v>7</v>
      </c>
      <c r="B15" s="158">
        <v>43739</v>
      </c>
      <c r="C15" s="543">
        <f t="shared" ref="C15:I16" si="7">B15*6.25%+B15</f>
        <v>46472.6875</v>
      </c>
      <c r="D15" s="543">
        <v>8923</v>
      </c>
      <c r="E15" s="543">
        <f t="shared" si="5"/>
        <v>37549.6875</v>
      </c>
      <c r="F15" s="239">
        <v>-15000</v>
      </c>
      <c r="G15" s="543">
        <f t="shared" si="6"/>
        <v>31472.6875</v>
      </c>
      <c r="H15" s="543">
        <f>C15*6.25%+C15</f>
        <v>49377.23046875</v>
      </c>
      <c r="I15" s="544">
        <f t="shared" si="7"/>
        <v>52463.307373046875</v>
      </c>
    </row>
    <row r="16" spans="1:9" s="272" customFormat="1" x14ac:dyDescent="0.25">
      <c r="A16" s="425" t="s">
        <v>53</v>
      </c>
      <c r="B16" s="158">
        <v>962267</v>
      </c>
      <c r="C16" s="543">
        <f t="shared" si="7"/>
        <v>1022408.6875</v>
      </c>
      <c r="D16" s="543">
        <v>295663</v>
      </c>
      <c r="E16" s="543">
        <f t="shared" si="5"/>
        <v>726745.6875</v>
      </c>
      <c r="F16" s="239">
        <v>-350000</v>
      </c>
      <c r="G16" s="543">
        <f t="shared" si="6"/>
        <v>672408.6875</v>
      </c>
      <c r="H16" s="543">
        <f>C16*6.25%+C16</f>
        <v>1086309.23046875</v>
      </c>
      <c r="I16" s="544">
        <f t="shared" si="7"/>
        <v>1154203.5573730469</v>
      </c>
    </row>
    <row r="17" spans="1:9" s="272" customFormat="1" x14ac:dyDescent="0.25">
      <c r="A17" s="425" t="s">
        <v>175</v>
      </c>
      <c r="B17" s="158">
        <v>43739</v>
      </c>
      <c r="C17" s="253"/>
      <c r="D17" s="253"/>
      <c r="E17" s="543">
        <f t="shared" si="5"/>
        <v>0</v>
      </c>
      <c r="F17" s="253">
        <f>5448+5448</f>
        <v>10896</v>
      </c>
      <c r="G17" s="545">
        <f t="shared" si="6"/>
        <v>10896</v>
      </c>
      <c r="H17" s="253"/>
      <c r="I17" s="712"/>
    </row>
    <row r="18" spans="1:9" s="754" customFormat="1" x14ac:dyDescent="0.25">
      <c r="A18" s="785" t="s">
        <v>872</v>
      </c>
      <c r="B18" s="158"/>
      <c r="C18" s="786"/>
      <c r="D18" s="786"/>
      <c r="E18" s="543"/>
      <c r="F18" s="786">
        <v>810</v>
      </c>
      <c r="G18" s="545">
        <f t="shared" si="6"/>
        <v>810</v>
      </c>
      <c r="H18" s="786"/>
      <c r="I18" s="778"/>
    </row>
    <row r="19" spans="1:9" s="272" customFormat="1" x14ac:dyDescent="0.25">
      <c r="A19" s="424" t="s">
        <v>41</v>
      </c>
      <c r="B19" s="246">
        <f>SUM(B14:B17)</f>
        <v>1839429</v>
      </c>
      <c r="C19" s="351">
        <f>SUM(C14:C18)</f>
        <v>1907920.625</v>
      </c>
      <c r="D19" s="351">
        <f t="shared" ref="D19:G19" si="8">SUM(D14:D18)</f>
        <v>522965</v>
      </c>
      <c r="E19" s="351">
        <f t="shared" si="8"/>
        <v>1384955.625</v>
      </c>
      <c r="F19" s="351">
        <f t="shared" si="8"/>
        <v>-653294</v>
      </c>
      <c r="G19" s="351">
        <f t="shared" si="8"/>
        <v>1254626.625</v>
      </c>
      <c r="H19" s="351">
        <f>SUM(H14:H16)</f>
        <v>2027165.6640625</v>
      </c>
      <c r="I19" s="387">
        <f>SUM(I14:I16)</f>
        <v>2153863.5180664063</v>
      </c>
    </row>
    <row r="20" spans="1:9" s="272" customFormat="1" x14ac:dyDescent="0.25">
      <c r="A20" s="425"/>
      <c r="B20" s="158"/>
      <c r="C20" s="543"/>
      <c r="D20" s="543"/>
      <c r="E20" s="543"/>
      <c r="F20" s="543"/>
      <c r="G20" s="543"/>
      <c r="H20" s="545"/>
      <c r="I20" s="544"/>
    </row>
    <row r="21" spans="1:9" s="272" customFormat="1" x14ac:dyDescent="0.25">
      <c r="A21" s="425" t="s">
        <v>31</v>
      </c>
      <c r="B21" s="158">
        <v>15000</v>
      </c>
      <c r="C21" s="543">
        <f t="shared" ref="C21:I22" si="9">B21*6.25%+B21</f>
        <v>15937.5</v>
      </c>
      <c r="D21" s="543"/>
      <c r="E21" s="543">
        <f t="shared" ref="E21:E22" si="10">C21-D21</f>
        <v>15937.5</v>
      </c>
      <c r="F21" s="239">
        <v>0</v>
      </c>
      <c r="G21" s="543">
        <f t="shared" ref="G21:G22" si="11">C21+F21</f>
        <v>15937.5</v>
      </c>
      <c r="H21" s="543">
        <f>C21*6.25%+C21</f>
        <v>16933.59375</v>
      </c>
      <c r="I21" s="544">
        <f t="shared" si="9"/>
        <v>17991.943359375</v>
      </c>
    </row>
    <row r="22" spans="1:9" s="272" customFormat="1" x14ac:dyDescent="0.25">
      <c r="A22" s="425" t="s">
        <v>20</v>
      </c>
      <c r="B22" s="158">
        <v>190000</v>
      </c>
      <c r="C22" s="543">
        <f t="shared" si="9"/>
        <v>201875</v>
      </c>
      <c r="D22" s="543">
        <v>167205</v>
      </c>
      <c r="E22" s="543">
        <f t="shared" si="10"/>
        <v>34670</v>
      </c>
      <c r="F22" s="239">
        <v>0</v>
      </c>
      <c r="G22" s="543">
        <f t="shared" si="11"/>
        <v>201875</v>
      </c>
      <c r="H22" s="543">
        <f>C22*6.25%+C22</f>
        <v>214492.1875</v>
      </c>
      <c r="I22" s="544">
        <f t="shared" si="9"/>
        <v>227897.94921875</v>
      </c>
    </row>
    <row r="23" spans="1:9" s="272" customFormat="1" x14ac:dyDescent="0.25">
      <c r="A23" s="424" t="s">
        <v>43</v>
      </c>
      <c r="B23" s="246">
        <f>SUM(B21:B22)</f>
        <v>205000</v>
      </c>
      <c r="C23" s="351">
        <f>SUM(C21:C22)</f>
        <v>217812.5</v>
      </c>
      <c r="D23" s="351">
        <f>SUM(D21:D22)</f>
        <v>167205</v>
      </c>
      <c r="E23" s="351">
        <f>SUM(E21:E22)</f>
        <v>50607.5</v>
      </c>
      <c r="F23" s="351">
        <f t="shared" ref="F23:G23" si="12">SUM(F21:F22)</f>
        <v>0</v>
      </c>
      <c r="G23" s="351">
        <f t="shared" si="12"/>
        <v>217812.5</v>
      </c>
      <c r="H23" s="351">
        <f>SUM(H21:H22)</f>
        <v>231425.78125</v>
      </c>
      <c r="I23" s="387">
        <f>SUM(I21:I22)</f>
        <v>245889.892578125</v>
      </c>
    </row>
    <row r="24" spans="1:9" s="272" customFormat="1" x14ac:dyDescent="0.25">
      <c r="A24" s="425"/>
      <c r="B24" s="246"/>
      <c r="C24" s="351"/>
      <c r="D24" s="351"/>
      <c r="E24" s="351"/>
      <c r="F24" s="351"/>
      <c r="G24" s="351"/>
      <c r="H24" s="351"/>
      <c r="I24" s="387"/>
    </row>
    <row r="25" spans="1:9" s="272" customFormat="1" ht="16.5" customHeight="1" x14ac:dyDescent="0.25">
      <c r="A25" s="425" t="s">
        <v>9</v>
      </c>
      <c r="B25" s="246"/>
      <c r="C25" s="543">
        <f>B17*6.25%+B17</f>
        <v>46472.6875</v>
      </c>
      <c r="D25" s="543">
        <v>16636</v>
      </c>
      <c r="E25" s="543">
        <f t="shared" ref="E25:E33" si="13">C25-D25</f>
        <v>29836.6875</v>
      </c>
      <c r="F25" s="239">
        <v>0</v>
      </c>
      <c r="G25" s="543">
        <f t="shared" ref="G25:G33" si="14">C25+F25</f>
        <v>46472.6875</v>
      </c>
      <c r="H25" s="543">
        <f t="shared" ref="H25:H32" si="15">C25*6.25%+C25</f>
        <v>49377.23046875</v>
      </c>
      <c r="I25" s="544">
        <f>H25*6.25%+H25</f>
        <v>52463.307373046875</v>
      </c>
    </row>
    <row r="26" spans="1:9" s="252" customFormat="1" x14ac:dyDescent="0.25">
      <c r="A26" s="312" t="s">
        <v>361</v>
      </c>
      <c r="B26" s="158">
        <v>6000</v>
      </c>
      <c r="C26" s="543">
        <f>B26*6.25%+B26</f>
        <v>6375</v>
      </c>
      <c r="D26" s="543"/>
      <c r="E26" s="543">
        <f t="shared" si="13"/>
        <v>6375</v>
      </c>
      <c r="F26" s="239">
        <v>0</v>
      </c>
      <c r="G26" s="543">
        <f t="shared" si="14"/>
        <v>6375</v>
      </c>
      <c r="H26" s="543">
        <f t="shared" si="15"/>
        <v>6773.4375</v>
      </c>
      <c r="I26" s="544">
        <f>H26*6.25%+H26</f>
        <v>7196.77734375</v>
      </c>
    </row>
    <row r="27" spans="1:9" s="252" customFormat="1" x14ac:dyDescent="0.25">
      <c r="A27" s="312" t="s">
        <v>24</v>
      </c>
      <c r="B27" s="158">
        <v>130000</v>
      </c>
      <c r="C27" s="543">
        <f t="shared" ref="C27:I32" si="16">B27*6.25%+B27</f>
        <v>138125</v>
      </c>
      <c r="D27" s="543"/>
      <c r="E27" s="543">
        <f t="shared" si="13"/>
        <v>138125</v>
      </c>
      <c r="F27" s="239">
        <v>0</v>
      </c>
      <c r="G27" s="543">
        <f t="shared" si="14"/>
        <v>138125</v>
      </c>
      <c r="H27" s="543">
        <f t="shared" si="15"/>
        <v>146757.8125</v>
      </c>
      <c r="I27" s="544">
        <f t="shared" si="16"/>
        <v>155930.17578125</v>
      </c>
    </row>
    <row r="28" spans="1:9" s="272" customFormat="1" x14ac:dyDescent="0.25">
      <c r="A28" s="425" t="s">
        <v>63</v>
      </c>
      <c r="B28" s="158">
        <v>17000</v>
      </c>
      <c r="C28" s="543">
        <f t="shared" si="16"/>
        <v>18062.5</v>
      </c>
      <c r="D28" s="543">
        <v>348</v>
      </c>
      <c r="E28" s="543">
        <f t="shared" si="13"/>
        <v>17714.5</v>
      </c>
      <c r="F28" s="239">
        <v>0</v>
      </c>
      <c r="G28" s="543">
        <f t="shared" si="14"/>
        <v>18062.5</v>
      </c>
      <c r="H28" s="543">
        <f t="shared" si="15"/>
        <v>19191.40625</v>
      </c>
      <c r="I28" s="544">
        <f t="shared" si="16"/>
        <v>20390.869140625</v>
      </c>
    </row>
    <row r="29" spans="1:9" s="272" customFormat="1" x14ac:dyDescent="0.25">
      <c r="A29" s="425" t="s">
        <v>59</v>
      </c>
      <c r="B29" s="158">
        <v>45000</v>
      </c>
      <c r="C29" s="543">
        <f t="shared" si="16"/>
        <v>47812.5</v>
      </c>
      <c r="D29" s="543"/>
      <c r="E29" s="543">
        <f t="shared" si="13"/>
        <v>47812.5</v>
      </c>
      <c r="F29" s="239">
        <v>-7813</v>
      </c>
      <c r="G29" s="543">
        <f t="shared" si="14"/>
        <v>39999.5</v>
      </c>
      <c r="H29" s="543">
        <f t="shared" si="15"/>
        <v>50800.78125</v>
      </c>
      <c r="I29" s="544">
        <f t="shared" si="16"/>
        <v>53975.830078125</v>
      </c>
    </row>
    <row r="30" spans="1:9" s="272" customFormat="1" x14ac:dyDescent="0.25">
      <c r="A30" s="425" t="s">
        <v>51</v>
      </c>
      <c r="B30" s="158">
        <f>47000/2</f>
        <v>23500</v>
      </c>
      <c r="C30" s="543">
        <f t="shared" si="16"/>
        <v>24968.75</v>
      </c>
      <c r="D30" s="543"/>
      <c r="E30" s="543">
        <f t="shared" si="13"/>
        <v>24968.75</v>
      </c>
      <c r="F30" s="239">
        <v>0</v>
      </c>
      <c r="G30" s="543">
        <f t="shared" si="14"/>
        <v>24968.75</v>
      </c>
      <c r="H30" s="543">
        <f t="shared" si="15"/>
        <v>26529.296875</v>
      </c>
      <c r="I30" s="544">
        <f t="shared" si="16"/>
        <v>28187.3779296875</v>
      </c>
    </row>
    <row r="31" spans="1:9" s="272" customFormat="1" x14ac:dyDescent="0.25">
      <c r="A31" s="425" t="s">
        <v>10</v>
      </c>
      <c r="B31" s="158">
        <v>50000</v>
      </c>
      <c r="C31" s="543">
        <f t="shared" si="16"/>
        <v>53125</v>
      </c>
      <c r="D31" s="543">
        <v>14687</v>
      </c>
      <c r="E31" s="543">
        <f t="shared" si="13"/>
        <v>38438</v>
      </c>
      <c r="F31" s="239">
        <v>0</v>
      </c>
      <c r="G31" s="543">
        <f t="shared" si="14"/>
        <v>53125</v>
      </c>
      <c r="H31" s="543">
        <f t="shared" si="15"/>
        <v>56445.3125</v>
      </c>
      <c r="I31" s="544">
        <f t="shared" si="16"/>
        <v>59973.14453125</v>
      </c>
    </row>
    <row r="32" spans="1:9" s="272" customFormat="1" x14ac:dyDescent="0.25">
      <c r="A32" s="425" t="s">
        <v>413</v>
      </c>
      <c r="B32" s="158">
        <v>20000</v>
      </c>
      <c r="C32" s="543">
        <f t="shared" si="16"/>
        <v>21250</v>
      </c>
      <c r="D32" s="543"/>
      <c r="E32" s="543">
        <f t="shared" si="13"/>
        <v>21250</v>
      </c>
      <c r="F32" s="239">
        <v>0</v>
      </c>
      <c r="G32" s="543">
        <f t="shared" si="14"/>
        <v>21250</v>
      </c>
      <c r="H32" s="543">
        <f t="shared" si="15"/>
        <v>22578.125</v>
      </c>
      <c r="I32" s="544">
        <f t="shared" si="16"/>
        <v>23989.2578125</v>
      </c>
    </row>
    <row r="33" spans="1:9" s="272" customFormat="1" x14ac:dyDescent="0.25">
      <c r="A33" s="425" t="s">
        <v>808</v>
      </c>
      <c r="B33" s="158"/>
      <c r="C33" s="543">
        <v>0</v>
      </c>
      <c r="D33" s="543">
        <v>7605182</v>
      </c>
      <c r="E33" s="543">
        <f t="shared" si="13"/>
        <v>-7605182</v>
      </c>
      <c r="F33" s="239">
        <v>7610000</v>
      </c>
      <c r="G33" s="543">
        <f t="shared" si="14"/>
        <v>7610000</v>
      </c>
      <c r="H33" s="543">
        <v>0</v>
      </c>
      <c r="I33" s="544">
        <v>0</v>
      </c>
    </row>
    <row r="34" spans="1:9" s="272" customFormat="1" x14ac:dyDescent="0.25">
      <c r="A34" s="424" t="s">
        <v>42</v>
      </c>
      <c r="B34" s="246">
        <f>SUM(B26:B32)</f>
        <v>291500</v>
      </c>
      <c r="C34" s="546">
        <f>SUM(C25:C33)</f>
        <v>356191.4375</v>
      </c>
      <c r="D34" s="546">
        <f t="shared" ref="D34:G34" si="17">SUM(D25:D33)</f>
        <v>7636853</v>
      </c>
      <c r="E34" s="546">
        <f t="shared" si="17"/>
        <v>-7280661.5625</v>
      </c>
      <c r="F34" s="546">
        <f t="shared" si="17"/>
        <v>7602187</v>
      </c>
      <c r="G34" s="546">
        <f t="shared" si="17"/>
        <v>7958378.4375</v>
      </c>
      <c r="H34" s="546">
        <f>SUM(H25:H32)</f>
        <v>378453.40234375</v>
      </c>
      <c r="I34" s="713">
        <f>SUM(I25:I32)</f>
        <v>402106.73999023438</v>
      </c>
    </row>
    <row r="35" spans="1:9" s="272" customFormat="1" x14ac:dyDescent="0.25">
      <c r="A35" s="425"/>
      <c r="B35" s="158"/>
      <c r="C35" s="543"/>
      <c r="D35" s="543"/>
      <c r="E35" s="543"/>
      <c r="F35" s="543"/>
      <c r="G35" s="543"/>
      <c r="H35" s="545"/>
      <c r="I35" s="544"/>
    </row>
    <row r="36" spans="1:9" s="272" customFormat="1" ht="15.75" thickBot="1" x14ac:dyDescent="0.3">
      <c r="A36" s="426" t="s">
        <v>44</v>
      </c>
      <c r="B36" s="392">
        <f>B12+B19+B23+B34</f>
        <v>9693563</v>
      </c>
      <c r="C36" s="422">
        <f>C12+C19+C23+C34</f>
        <v>10684077.6875</v>
      </c>
      <c r="D36" s="422">
        <f>D12+D19+D23+D34</f>
        <v>12661101</v>
      </c>
      <c r="E36" s="422">
        <f>E12+E19+E23+E34</f>
        <v>-1977023.3125</v>
      </c>
      <c r="F36" s="422">
        <f t="shared" ref="F36:G36" si="18">F12+F19+F23+F34</f>
        <v>6745245</v>
      </c>
      <c r="G36" s="422">
        <f t="shared" si="18"/>
        <v>17429322.6875</v>
      </c>
      <c r="H36" s="422">
        <f>H12+H19+H23+H34</f>
        <v>11351832.54296875</v>
      </c>
      <c r="I36" s="393">
        <f>I12+I19+I23+I34</f>
        <v>12061322.076904297</v>
      </c>
    </row>
    <row r="37" spans="1:9" x14ac:dyDescent="0.25">
      <c r="A37" s="532"/>
      <c r="B37" s="366"/>
      <c r="C37" s="547"/>
      <c r="D37" s="547"/>
      <c r="E37" s="547"/>
      <c r="F37" s="547"/>
      <c r="G37" s="547"/>
      <c r="H37" s="547"/>
    </row>
    <row r="38" spans="1:9" x14ac:dyDescent="0.25">
      <c r="A38" s="532"/>
      <c r="B38" s="366"/>
      <c r="C38" s="547"/>
      <c r="D38" s="547"/>
      <c r="E38" s="547"/>
      <c r="F38" s="547"/>
      <c r="G38" s="547"/>
      <c r="H38" s="547"/>
    </row>
  </sheetData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&amp;A&amp;RPage &amp;P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fitToPage="1"/>
  </sheetPr>
  <dimension ref="A1:I43"/>
  <sheetViews>
    <sheetView view="pageBreakPreview" zoomScale="60" zoomScaleNormal="100" workbookViewId="0">
      <selection activeCell="F31" sqref="F31"/>
    </sheetView>
  </sheetViews>
  <sheetFormatPr defaultColWidth="9.28515625" defaultRowHeight="15" x14ac:dyDescent="0.25"/>
  <cols>
    <col min="1" max="1" width="46" style="352" customWidth="1"/>
    <col min="2" max="2" width="4.140625" style="247" hidden="1" customWidth="1"/>
    <col min="3" max="7" width="17.85546875" style="247" customWidth="1"/>
    <col min="8" max="8" width="18.7109375" style="247" customWidth="1"/>
    <col min="9" max="9" width="14.42578125" style="352" customWidth="1"/>
    <col min="10" max="16384" width="9.28515625" style="352"/>
  </cols>
  <sheetData>
    <row r="1" spans="1:9" s="272" customFormat="1" ht="18.75" x14ac:dyDescent="0.3">
      <c r="A1" s="515" t="s">
        <v>482</v>
      </c>
      <c r="B1" s="362"/>
      <c r="C1" s="362"/>
      <c r="D1" s="362"/>
      <c r="E1" s="362"/>
      <c r="F1" s="362"/>
      <c r="G1" s="362"/>
      <c r="H1" s="362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5.7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09" t="s">
        <v>556</v>
      </c>
      <c r="I3" s="385" t="s">
        <v>644</v>
      </c>
    </row>
    <row r="4" spans="1:9" s="272" customFormat="1" x14ac:dyDescent="0.25">
      <c r="A4" s="253" t="s">
        <v>2</v>
      </c>
      <c r="B4" s="158">
        <v>5663943</v>
      </c>
      <c r="C4" s="158">
        <v>5663943</v>
      </c>
      <c r="D4" s="239">
        <v>3738246</v>
      </c>
      <c r="E4" s="239">
        <f>C4-D4</f>
        <v>1925697</v>
      </c>
      <c r="F4" s="724">
        <v>1200000</v>
      </c>
      <c r="G4" s="239">
        <f>C4+F4</f>
        <v>6863943</v>
      </c>
      <c r="H4" s="239">
        <f t="shared" ref="H4:H12" si="0">C4*6.25%+C4</f>
        <v>6017939.4375</v>
      </c>
      <c r="I4" s="386">
        <f>H4*6.25%+H4</f>
        <v>6394060.65234375</v>
      </c>
    </row>
    <row r="5" spans="1:9" s="272" customFormat="1" x14ac:dyDescent="0.25">
      <c r="A5" s="253" t="s">
        <v>3</v>
      </c>
      <c r="B5" s="158">
        <v>471995</v>
      </c>
      <c r="C5" s="158">
        <v>471995</v>
      </c>
      <c r="D5" s="239">
        <v>204223</v>
      </c>
      <c r="E5" s="239">
        <f t="shared" ref="E5:E12" si="1">C5-D5</f>
        <v>267772</v>
      </c>
      <c r="F5" s="239">
        <v>0</v>
      </c>
      <c r="G5" s="239">
        <f t="shared" ref="G5:G13" si="2">C5+F5</f>
        <v>471995</v>
      </c>
      <c r="H5" s="239">
        <f t="shared" si="0"/>
        <v>501494.6875</v>
      </c>
      <c r="I5" s="386">
        <f t="shared" ref="I5:I12" si="3">H5*6.25%+H5</f>
        <v>532838.10546875</v>
      </c>
    </row>
    <row r="6" spans="1:9" s="272" customFormat="1" x14ac:dyDescent="0.25">
      <c r="A6" s="253" t="s">
        <v>17</v>
      </c>
      <c r="B6" s="158">
        <v>2210000</v>
      </c>
      <c r="C6" s="158">
        <v>2210000</v>
      </c>
      <c r="D6" s="239">
        <v>4848488</v>
      </c>
      <c r="E6" s="239">
        <f t="shared" si="1"/>
        <v>-2638488</v>
      </c>
      <c r="F6" s="724">
        <v>2700000</v>
      </c>
      <c r="G6" s="239">
        <f t="shared" si="2"/>
        <v>4910000</v>
      </c>
      <c r="H6" s="239">
        <f t="shared" si="0"/>
        <v>2348125</v>
      </c>
      <c r="I6" s="386">
        <f t="shared" si="3"/>
        <v>2494882.8125</v>
      </c>
    </row>
    <row r="7" spans="1:9" s="272" customFormat="1" x14ac:dyDescent="0.25">
      <c r="A7" s="253" t="s">
        <v>172</v>
      </c>
      <c r="B7" s="158">
        <v>200000</v>
      </c>
      <c r="C7" s="158">
        <v>200000</v>
      </c>
      <c r="D7" s="239">
        <v>81441</v>
      </c>
      <c r="E7" s="239">
        <f t="shared" si="1"/>
        <v>118559</v>
      </c>
      <c r="F7" s="239">
        <v>0</v>
      </c>
      <c r="G7" s="239">
        <f t="shared" si="2"/>
        <v>200000</v>
      </c>
      <c r="H7" s="239">
        <f t="shared" si="0"/>
        <v>212500</v>
      </c>
      <c r="I7" s="386">
        <f t="shared" si="3"/>
        <v>225781.25</v>
      </c>
    </row>
    <row r="8" spans="1:9" s="272" customFormat="1" x14ac:dyDescent="0.25">
      <c r="A8" s="253" t="s">
        <v>4</v>
      </c>
      <c r="B8" s="158">
        <v>192000</v>
      </c>
      <c r="C8" s="158">
        <v>192000</v>
      </c>
      <c r="D8" s="239">
        <v>50155</v>
      </c>
      <c r="E8" s="239">
        <f t="shared" si="1"/>
        <v>141845</v>
      </c>
      <c r="F8" s="239">
        <v>0</v>
      </c>
      <c r="G8" s="239">
        <f t="shared" si="2"/>
        <v>192000</v>
      </c>
      <c r="H8" s="239">
        <f t="shared" si="0"/>
        <v>204000</v>
      </c>
      <c r="I8" s="386">
        <f t="shared" si="3"/>
        <v>216750</v>
      </c>
    </row>
    <row r="9" spans="1:9" s="272" customFormat="1" x14ac:dyDescent="0.25">
      <c r="A9" s="253" t="s">
        <v>5</v>
      </c>
      <c r="B9" s="158">
        <v>400989</v>
      </c>
      <c r="C9" s="158">
        <v>400989</v>
      </c>
      <c r="D9" s="239">
        <v>383859</v>
      </c>
      <c r="E9" s="239">
        <f t="shared" si="1"/>
        <v>17130</v>
      </c>
      <c r="F9" s="239">
        <v>400000</v>
      </c>
      <c r="G9" s="239">
        <f t="shared" si="2"/>
        <v>800989</v>
      </c>
      <c r="H9" s="239">
        <f t="shared" si="0"/>
        <v>426050.8125</v>
      </c>
      <c r="I9" s="386">
        <f t="shared" si="3"/>
        <v>452678.98828125</v>
      </c>
    </row>
    <row r="10" spans="1:9" s="272" customFormat="1" x14ac:dyDescent="0.25">
      <c r="A10" s="253" t="s">
        <v>173</v>
      </c>
      <c r="B10" s="158"/>
      <c r="C10" s="158">
        <v>494471</v>
      </c>
      <c r="D10" s="239">
        <v>181974</v>
      </c>
      <c r="E10" s="239">
        <f t="shared" si="1"/>
        <v>312497</v>
      </c>
      <c r="F10" s="239">
        <v>0</v>
      </c>
      <c r="G10" s="239">
        <f t="shared" si="2"/>
        <v>494471</v>
      </c>
      <c r="H10" s="239">
        <f t="shared" si="0"/>
        <v>525375.4375</v>
      </c>
      <c r="I10" s="386">
        <f t="shared" si="3"/>
        <v>558211.40234375</v>
      </c>
    </row>
    <row r="11" spans="1:9" s="272" customFormat="1" x14ac:dyDescent="0.25">
      <c r="A11" s="253" t="s">
        <v>30</v>
      </c>
      <c r="B11" s="158">
        <v>300000</v>
      </c>
      <c r="C11" s="158">
        <v>300000</v>
      </c>
      <c r="D11" s="239">
        <v>293877</v>
      </c>
      <c r="E11" s="239">
        <f t="shared" si="1"/>
        <v>6123</v>
      </c>
      <c r="F11" s="239">
        <v>0</v>
      </c>
      <c r="G11" s="239">
        <f t="shared" si="2"/>
        <v>300000</v>
      </c>
      <c r="H11" s="239">
        <f t="shared" si="0"/>
        <v>318750</v>
      </c>
      <c r="I11" s="386">
        <f t="shared" si="3"/>
        <v>338671.875</v>
      </c>
    </row>
    <row r="12" spans="1:9" s="272" customFormat="1" x14ac:dyDescent="0.25">
      <c r="A12" s="710" t="s">
        <v>810</v>
      </c>
      <c r="B12" s="158"/>
      <c r="C12" s="158">
        <v>0</v>
      </c>
      <c r="D12" s="239">
        <v>0</v>
      </c>
      <c r="E12" s="239">
        <f t="shared" si="1"/>
        <v>0</v>
      </c>
      <c r="F12" s="239">
        <v>15222</v>
      </c>
      <c r="G12" s="239">
        <f t="shared" si="2"/>
        <v>15222</v>
      </c>
      <c r="H12" s="239">
        <f t="shared" si="0"/>
        <v>0</v>
      </c>
      <c r="I12" s="386">
        <f t="shared" si="3"/>
        <v>0</v>
      </c>
    </row>
    <row r="13" spans="1:9" s="754" customFormat="1" x14ac:dyDescent="0.25">
      <c r="A13" s="785" t="s">
        <v>872</v>
      </c>
      <c r="B13" s="158"/>
      <c r="C13" s="158"/>
      <c r="D13" s="239"/>
      <c r="E13" s="239"/>
      <c r="F13" s="239">
        <v>810</v>
      </c>
      <c r="G13" s="239">
        <f t="shared" si="2"/>
        <v>810</v>
      </c>
      <c r="H13" s="239"/>
      <c r="I13" s="386"/>
    </row>
    <row r="14" spans="1:9" s="272" customFormat="1" x14ac:dyDescent="0.25">
      <c r="A14" s="424" t="s">
        <v>40</v>
      </c>
      <c r="B14" s="246">
        <f>SUM(B4:B11)</f>
        <v>9438927</v>
      </c>
      <c r="C14" s="246">
        <f>SUM(C4:C13)</f>
        <v>9933398</v>
      </c>
      <c r="D14" s="246">
        <f t="shared" ref="D14:G14" si="4">SUM(D4:D13)</f>
        <v>9782263</v>
      </c>
      <c r="E14" s="246">
        <f t="shared" si="4"/>
        <v>151135</v>
      </c>
      <c r="F14" s="246">
        <f t="shared" si="4"/>
        <v>4316032</v>
      </c>
      <c r="G14" s="246">
        <f t="shared" si="4"/>
        <v>14249430</v>
      </c>
      <c r="H14" s="246">
        <f>SUM(H4:H12)</f>
        <v>10554235.375</v>
      </c>
      <c r="I14" s="387">
        <f>SUM(I4:I12)</f>
        <v>11213875.0859375</v>
      </c>
    </row>
    <row r="15" spans="1:9" s="272" customFormat="1" x14ac:dyDescent="0.25">
      <c r="A15" s="253"/>
      <c r="B15" s="158"/>
      <c r="C15" s="158"/>
      <c r="D15" s="239"/>
      <c r="E15" s="239"/>
      <c r="F15" s="239"/>
      <c r="G15" s="239"/>
      <c r="H15" s="239"/>
      <c r="I15" s="386">
        <f>H15*6.9%+H15</f>
        <v>0</v>
      </c>
    </row>
    <row r="16" spans="1:9" s="272" customFormat="1" x14ac:dyDescent="0.25">
      <c r="A16" s="253" t="s">
        <v>6</v>
      </c>
      <c r="B16" s="158">
        <v>929040</v>
      </c>
      <c r="C16" s="158">
        <v>929040</v>
      </c>
      <c r="D16" s="239">
        <v>474421</v>
      </c>
      <c r="E16" s="239">
        <f t="shared" ref="E16:E18" si="5">C16-D16</f>
        <v>454619</v>
      </c>
      <c r="F16" s="239">
        <v>0</v>
      </c>
      <c r="G16" s="239">
        <f t="shared" ref="G16:G18" si="6">C16+F16</f>
        <v>929040</v>
      </c>
      <c r="H16" s="239">
        <f>C16*6.25%+C16</f>
        <v>987105</v>
      </c>
      <c r="I16" s="386">
        <f t="shared" ref="I16:I18" si="7">H16*6.25%+H16</f>
        <v>1048799.0625</v>
      </c>
    </row>
    <row r="17" spans="1:9" s="272" customFormat="1" x14ac:dyDescent="0.25">
      <c r="A17" s="253" t="s">
        <v>7</v>
      </c>
      <c r="B17" s="158">
        <v>55639</v>
      </c>
      <c r="C17" s="158">
        <v>55639</v>
      </c>
      <c r="D17" s="239">
        <v>20970</v>
      </c>
      <c r="E17" s="239">
        <f t="shared" si="5"/>
        <v>34669</v>
      </c>
      <c r="F17" s="239">
        <v>0</v>
      </c>
      <c r="G17" s="239">
        <f t="shared" si="6"/>
        <v>55639</v>
      </c>
      <c r="H17" s="239">
        <f>C17*6.25%+C17</f>
        <v>59116.4375</v>
      </c>
      <c r="I17" s="386">
        <f t="shared" si="7"/>
        <v>62811.21484375</v>
      </c>
    </row>
    <row r="18" spans="1:9" s="272" customFormat="1" x14ac:dyDescent="0.25">
      <c r="A18" s="253" t="s">
        <v>53</v>
      </c>
      <c r="B18" s="158">
        <v>1246067</v>
      </c>
      <c r="C18" s="158">
        <v>1246067</v>
      </c>
      <c r="D18" s="239">
        <v>743948</v>
      </c>
      <c r="E18" s="239">
        <f t="shared" si="5"/>
        <v>502119</v>
      </c>
      <c r="F18" s="239">
        <v>0</v>
      </c>
      <c r="G18" s="239">
        <f t="shared" si="6"/>
        <v>1246067</v>
      </c>
      <c r="H18" s="239">
        <f>C18*6.25%+C18</f>
        <v>1323946.1875</v>
      </c>
      <c r="I18" s="386">
        <f t="shared" si="7"/>
        <v>1406692.82421875</v>
      </c>
    </row>
    <row r="19" spans="1:9" s="272" customFormat="1" x14ac:dyDescent="0.25">
      <c r="A19" s="424" t="s">
        <v>41</v>
      </c>
      <c r="B19" s="246">
        <f>SUM(B16:B18)</f>
        <v>2230746</v>
      </c>
      <c r="C19" s="246">
        <f>SUM(C16:C18)</f>
        <v>2230746</v>
      </c>
      <c r="D19" s="246">
        <f>SUM(D16:D18)</f>
        <v>1239339</v>
      </c>
      <c r="E19" s="246">
        <f>SUM(E16:E18)</f>
        <v>991407</v>
      </c>
      <c r="F19" s="246">
        <f t="shared" ref="F19:G19" si="8">SUM(F16:F18)</f>
        <v>0</v>
      </c>
      <c r="G19" s="246">
        <f t="shared" si="8"/>
        <v>2230746</v>
      </c>
      <c r="H19" s="246">
        <f>SUM(H16:H18)</f>
        <v>2370167.625</v>
      </c>
      <c r="I19" s="246">
        <f>SUM(I16:I18)</f>
        <v>2518303.1015625</v>
      </c>
    </row>
    <row r="20" spans="1:9" s="272" customFormat="1" x14ac:dyDescent="0.25">
      <c r="A20" s="253"/>
      <c r="B20" s="158"/>
      <c r="C20" s="158"/>
      <c r="D20" s="239"/>
      <c r="E20" s="239"/>
      <c r="F20" s="239"/>
      <c r="G20" s="239"/>
      <c r="H20" s="239"/>
      <c r="I20" s="386">
        <f>H20*6.9%+H20</f>
        <v>0</v>
      </c>
    </row>
    <row r="21" spans="1:9" s="272" customFormat="1" x14ac:dyDescent="0.25">
      <c r="A21" s="253" t="s">
        <v>31</v>
      </c>
      <c r="B21" s="158">
        <v>15000</v>
      </c>
      <c r="C21" s="158">
        <v>15000</v>
      </c>
      <c r="D21" s="239">
        <v>29928</v>
      </c>
      <c r="E21" s="239">
        <f t="shared" ref="E21:E23" si="9">C21-D21</f>
        <v>-14928</v>
      </c>
      <c r="F21" s="239">
        <v>15000</v>
      </c>
      <c r="G21" s="239">
        <f t="shared" ref="G21:G23" si="10">C21+F21</f>
        <v>30000</v>
      </c>
      <c r="H21" s="239">
        <f>C21*6.25%+C21</f>
        <v>15937.5</v>
      </c>
      <c r="I21" s="386">
        <f t="shared" ref="I21:I23" si="11">H21*6.25%+H21</f>
        <v>16933.59375</v>
      </c>
    </row>
    <row r="22" spans="1:9" s="272" customFormat="1" x14ac:dyDescent="0.25">
      <c r="A22" s="253" t="s">
        <v>20</v>
      </c>
      <c r="B22" s="158">
        <v>190000</v>
      </c>
      <c r="C22" s="158">
        <v>190000</v>
      </c>
      <c r="D22" s="239">
        <v>190384</v>
      </c>
      <c r="E22" s="239">
        <f t="shared" si="9"/>
        <v>-384</v>
      </c>
      <c r="F22" s="239">
        <v>0</v>
      </c>
      <c r="G22" s="239">
        <f t="shared" si="10"/>
        <v>190000</v>
      </c>
      <c r="H22" s="239">
        <f>C22*6.25%+C22</f>
        <v>201875</v>
      </c>
      <c r="I22" s="386">
        <f t="shared" si="11"/>
        <v>214492.1875</v>
      </c>
    </row>
    <row r="23" spans="1:9" s="272" customFormat="1" x14ac:dyDescent="0.25">
      <c r="A23" s="253" t="s">
        <v>616</v>
      </c>
      <c r="B23" s="158">
        <v>300000</v>
      </c>
      <c r="C23" s="254">
        <v>300000</v>
      </c>
      <c r="D23" s="335"/>
      <c r="E23" s="239">
        <f t="shared" si="9"/>
        <v>300000</v>
      </c>
      <c r="F23" s="239">
        <v>-50000</v>
      </c>
      <c r="G23" s="239">
        <f t="shared" si="10"/>
        <v>250000</v>
      </c>
      <c r="H23" s="239">
        <f>C23*6.25%+C23</f>
        <v>318750</v>
      </c>
      <c r="I23" s="386">
        <f t="shared" si="11"/>
        <v>338671.875</v>
      </c>
    </row>
    <row r="24" spans="1:9" s="272" customFormat="1" x14ac:dyDescent="0.25">
      <c r="A24" s="424" t="s">
        <v>43</v>
      </c>
      <c r="B24" s="246">
        <f>SUM(B21:B23)</f>
        <v>505000</v>
      </c>
      <c r="C24" s="246">
        <f>SUM(C21:C23)</f>
        <v>505000</v>
      </c>
      <c r="D24" s="246">
        <f>SUM(D21:D23)</f>
        <v>220312</v>
      </c>
      <c r="E24" s="246">
        <f>SUM(E21:E23)</f>
        <v>284688</v>
      </c>
      <c r="F24" s="246">
        <f t="shared" ref="F24:G24" si="12">SUM(F21:F23)</f>
        <v>-35000</v>
      </c>
      <c r="G24" s="246">
        <f t="shared" si="12"/>
        <v>470000</v>
      </c>
      <c r="H24" s="246">
        <f>SUM(H21:H23)</f>
        <v>536562.5</v>
      </c>
      <c r="I24" s="387">
        <f>SUM(I21:I23)</f>
        <v>570097.65625</v>
      </c>
    </row>
    <row r="25" spans="1:9" s="272" customFormat="1" x14ac:dyDescent="0.25">
      <c r="A25" s="253"/>
      <c r="B25" s="246"/>
      <c r="C25" s="246"/>
      <c r="D25" s="351"/>
      <c r="E25" s="351"/>
      <c r="F25" s="351"/>
      <c r="G25" s="351"/>
      <c r="H25" s="351"/>
      <c r="I25" s="387"/>
    </row>
    <row r="26" spans="1:9" s="272" customFormat="1" x14ac:dyDescent="0.25">
      <c r="A26" s="253" t="s">
        <v>9</v>
      </c>
      <c r="B26" s="246"/>
      <c r="C26" s="158">
        <v>55639</v>
      </c>
      <c r="D26" s="239">
        <v>36436</v>
      </c>
      <c r="E26" s="239">
        <f t="shared" ref="E26:E38" si="13">C26-D26</f>
        <v>19203</v>
      </c>
      <c r="F26" s="239">
        <v>0</v>
      </c>
      <c r="G26" s="239">
        <f t="shared" ref="G26:G38" si="14">C26+F26</f>
        <v>55639</v>
      </c>
      <c r="H26" s="239">
        <f>C26*6.25%+C26</f>
        <v>59116.4375</v>
      </c>
      <c r="I26" s="386">
        <f>H26*6.25%+H26</f>
        <v>62811.21484375</v>
      </c>
    </row>
    <row r="27" spans="1:9" s="272" customFormat="1" ht="16.5" customHeight="1" x14ac:dyDescent="0.25">
      <c r="A27" s="271" t="s">
        <v>361</v>
      </c>
      <c r="B27" s="158">
        <v>8000</v>
      </c>
      <c r="C27" s="158">
        <v>8000</v>
      </c>
      <c r="D27" s="239"/>
      <c r="E27" s="239">
        <f t="shared" si="13"/>
        <v>8000</v>
      </c>
      <c r="F27" s="239">
        <v>0</v>
      </c>
      <c r="G27" s="239">
        <f t="shared" si="14"/>
        <v>8000</v>
      </c>
      <c r="H27" s="239">
        <f t="shared" ref="H27:H32" si="15">C27*6.25%+C27</f>
        <v>8500</v>
      </c>
      <c r="I27" s="386">
        <v>8887</v>
      </c>
    </row>
    <row r="28" spans="1:9" s="252" customFormat="1" x14ac:dyDescent="0.25">
      <c r="A28" s="271" t="s">
        <v>24</v>
      </c>
      <c r="B28" s="158">
        <v>170000</v>
      </c>
      <c r="C28" s="158">
        <v>170000</v>
      </c>
      <c r="D28" s="239"/>
      <c r="E28" s="239">
        <f t="shared" si="13"/>
        <v>170000</v>
      </c>
      <c r="F28" s="879">
        <v>-80000</v>
      </c>
      <c r="G28" s="239">
        <f t="shared" si="14"/>
        <v>90000</v>
      </c>
      <c r="H28" s="239">
        <f t="shared" si="15"/>
        <v>180625</v>
      </c>
      <c r="I28" s="386">
        <v>188856</v>
      </c>
    </row>
    <row r="29" spans="1:9" s="252" customFormat="1" x14ac:dyDescent="0.25">
      <c r="A29" s="253" t="s">
        <v>63</v>
      </c>
      <c r="B29" s="158">
        <v>17000</v>
      </c>
      <c r="C29" s="158">
        <v>17000</v>
      </c>
      <c r="D29" s="239">
        <v>22979</v>
      </c>
      <c r="E29" s="239">
        <f t="shared" si="13"/>
        <v>-5979</v>
      </c>
      <c r="F29" s="239">
        <v>25000</v>
      </c>
      <c r="G29" s="239">
        <f t="shared" si="14"/>
        <v>42000</v>
      </c>
      <c r="H29" s="239">
        <f t="shared" si="15"/>
        <v>18062.5</v>
      </c>
      <c r="I29" s="386">
        <v>18886</v>
      </c>
    </row>
    <row r="30" spans="1:9" s="272" customFormat="1" x14ac:dyDescent="0.25">
      <c r="A30" s="253" t="s">
        <v>59</v>
      </c>
      <c r="B30" s="158">
        <v>45000</v>
      </c>
      <c r="C30" s="158">
        <v>45000</v>
      </c>
      <c r="D30" s="239"/>
      <c r="E30" s="239">
        <f t="shared" si="13"/>
        <v>45000</v>
      </c>
      <c r="F30" s="879">
        <v>-10000</v>
      </c>
      <c r="G30" s="239">
        <f t="shared" si="14"/>
        <v>35000</v>
      </c>
      <c r="H30" s="239">
        <f t="shared" si="15"/>
        <v>47812.5</v>
      </c>
      <c r="I30" s="386">
        <v>49991</v>
      </c>
    </row>
    <row r="31" spans="1:9" s="272" customFormat="1" x14ac:dyDescent="0.25">
      <c r="A31" s="253" t="s">
        <v>51</v>
      </c>
      <c r="B31" s="158">
        <f>40000/2</f>
        <v>20000</v>
      </c>
      <c r="C31" s="158">
        <v>20000</v>
      </c>
      <c r="D31" s="239"/>
      <c r="E31" s="239">
        <f t="shared" si="13"/>
        <v>20000</v>
      </c>
      <c r="F31" s="879">
        <f>-10000</f>
        <v>-10000</v>
      </c>
      <c r="G31" s="239">
        <f t="shared" si="14"/>
        <v>10000</v>
      </c>
      <c r="H31" s="239">
        <f t="shared" si="15"/>
        <v>21250</v>
      </c>
      <c r="I31" s="386">
        <v>22218</v>
      </c>
    </row>
    <row r="32" spans="1:9" s="272" customFormat="1" x14ac:dyDescent="0.25">
      <c r="A32" s="253" t="s">
        <v>10</v>
      </c>
      <c r="B32" s="158">
        <v>50000</v>
      </c>
      <c r="C32" s="158">
        <v>50000</v>
      </c>
      <c r="D32" s="239">
        <v>36351</v>
      </c>
      <c r="E32" s="239">
        <f t="shared" si="13"/>
        <v>13649</v>
      </c>
      <c r="F32" s="239">
        <v>20000</v>
      </c>
      <c r="G32" s="239">
        <f t="shared" si="14"/>
        <v>70000</v>
      </c>
      <c r="H32" s="239">
        <f t="shared" si="15"/>
        <v>53125</v>
      </c>
      <c r="I32" s="386">
        <v>55546</v>
      </c>
    </row>
    <row r="33" spans="1:9" s="272" customFormat="1" x14ac:dyDescent="0.25">
      <c r="A33" s="253" t="s">
        <v>284</v>
      </c>
      <c r="B33" s="158">
        <v>200000</v>
      </c>
      <c r="C33" s="158">
        <v>210800</v>
      </c>
      <c r="D33" s="239"/>
      <c r="E33" s="239">
        <f t="shared" si="13"/>
        <v>210800</v>
      </c>
      <c r="F33" s="239">
        <v>-50000</v>
      </c>
      <c r="G33" s="239">
        <f t="shared" si="14"/>
        <v>160800</v>
      </c>
      <c r="H33" s="239">
        <v>222183</v>
      </c>
      <c r="I33" s="386">
        <v>300000</v>
      </c>
    </row>
    <row r="34" spans="1:9" s="272" customFormat="1" x14ac:dyDescent="0.25">
      <c r="A34" s="253" t="s">
        <v>613</v>
      </c>
      <c r="B34" s="158"/>
      <c r="C34" s="158">
        <v>2500000</v>
      </c>
      <c r="D34" s="239"/>
      <c r="E34" s="239">
        <f t="shared" si="13"/>
        <v>2500000</v>
      </c>
      <c r="F34" s="724">
        <v>-2500000</v>
      </c>
      <c r="G34" s="239">
        <f t="shared" si="14"/>
        <v>0</v>
      </c>
      <c r="H34" s="239">
        <v>3000000</v>
      </c>
      <c r="I34" s="386">
        <v>0</v>
      </c>
    </row>
    <row r="35" spans="1:9" s="272" customFormat="1" x14ac:dyDescent="0.25">
      <c r="A35" s="253" t="s">
        <v>740</v>
      </c>
      <c r="B35" s="158"/>
      <c r="C35" s="158">
        <v>0</v>
      </c>
      <c r="D35" s="239"/>
      <c r="E35" s="239">
        <f t="shared" si="13"/>
        <v>0</v>
      </c>
      <c r="F35" s="239">
        <v>0</v>
      </c>
      <c r="G35" s="239">
        <f t="shared" si="14"/>
        <v>0</v>
      </c>
      <c r="H35" s="239">
        <v>2800000</v>
      </c>
      <c r="I35" s="386">
        <v>3000000</v>
      </c>
    </row>
    <row r="36" spans="1:9" s="272" customFormat="1" x14ac:dyDescent="0.25">
      <c r="A36" s="253" t="s">
        <v>285</v>
      </c>
      <c r="B36" s="158">
        <v>30000</v>
      </c>
      <c r="C36" s="158">
        <v>100000</v>
      </c>
      <c r="D36" s="239"/>
      <c r="E36" s="239">
        <f t="shared" si="13"/>
        <v>100000</v>
      </c>
      <c r="F36" s="239">
        <v>-20000</v>
      </c>
      <c r="G36" s="239">
        <f t="shared" si="14"/>
        <v>80000</v>
      </c>
      <c r="H36" s="239">
        <v>120000</v>
      </c>
      <c r="I36" s="386">
        <v>140000</v>
      </c>
    </row>
    <row r="37" spans="1:9" s="272" customFormat="1" x14ac:dyDescent="0.25">
      <c r="A37" s="253" t="s">
        <v>286</v>
      </c>
      <c r="B37" s="158">
        <v>200000</v>
      </c>
      <c r="C37" s="158">
        <v>550000</v>
      </c>
      <c r="D37" s="239"/>
      <c r="E37" s="239">
        <f t="shared" si="13"/>
        <v>550000</v>
      </c>
      <c r="F37" s="239">
        <v>-550000</v>
      </c>
      <c r="G37" s="239">
        <f t="shared" si="14"/>
        <v>0</v>
      </c>
      <c r="H37" s="239">
        <v>0</v>
      </c>
      <c r="I37" s="386">
        <f>H37*6.25%+H37</f>
        <v>0</v>
      </c>
    </row>
    <row r="38" spans="1:9" s="272" customFormat="1" x14ac:dyDescent="0.25">
      <c r="A38" s="253" t="s">
        <v>302</v>
      </c>
      <c r="B38" s="158">
        <v>300000</v>
      </c>
      <c r="C38" s="158">
        <v>1850000</v>
      </c>
      <c r="D38" s="239"/>
      <c r="E38" s="239">
        <f t="shared" si="13"/>
        <v>1850000</v>
      </c>
      <c r="F38" s="724">
        <v>-1000000</v>
      </c>
      <c r="G38" s="239">
        <f t="shared" si="14"/>
        <v>850000</v>
      </c>
      <c r="H38" s="239">
        <v>1900000</v>
      </c>
      <c r="I38" s="386">
        <v>2000000</v>
      </c>
    </row>
    <row r="39" spans="1:9" s="272" customFormat="1" x14ac:dyDescent="0.25">
      <c r="A39" s="424" t="s">
        <v>42</v>
      </c>
      <c r="B39" s="246">
        <f>SUM(B27:B38)</f>
        <v>1040000</v>
      </c>
      <c r="C39" s="246">
        <f>SUM(C26:C38)</f>
        <v>5576439</v>
      </c>
      <c r="D39" s="246">
        <f>SUM(D26:D38)</f>
        <v>95766</v>
      </c>
      <c r="E39" s="246">
        <f>SUM(E26:E38)</f>
        <v>5480673</v>
      </c>
      <c r="F39" s="246">
        <f t="shared" ref="F39:G39" si="16">SUM(F26:F38)</f>
        <v>-4175000</v>
      </c>
      <c r="G39" s="246">
        <f t="shared" si="16"/>
        <v>1401439</v>
      </c>
      <c r="H39" s="246">
        <f>SUM(H26:H38)</f>
        <v>8430674.4375</v>
      </c>
      <c r="I39" s="246">
        <f>SUM(I26:I38)</f>
        <v>5847195.21484375</v>
      </c>
    </row>
    <row r="40" spans="1:9" s="272" customFormat="1" x14ac:dyDescent="0.25">
      <c r="A40" s="425"/>
      <c r="B40" s="158"/>
      <c r="C40" s="158"/>
      <c r="D40" s="239"/>
      <c r="E40" s="239"/>
      <c r="F40" s="239"/>
      <c r="G40" s="239"/>
      <c r="H40" s="239"/>
      <c r="I40" s="386">
        <f>H40*6.9%+H40</f>
        <v>0</v>
      </c>
    </row>
    <row r="41" spans="1:9" s="272" customFormat="1" ht="15.75" thickBot="1" x14ac:dyDescent="0.3">
      <c r="A41" s="426" t="s">
        <v>44</v>
      </c>
      <c r="B41" s="392">
        <f>B14+B19+B24+B39</f>
        <v>13214673</v>
      </c>
      <c r="C41" s="392">
        <f>C14+C19+C24+C39</f>
        <v>18245583</v>
      </c>
      <c r="D41" s="392">
        <f>D14+D19+D24+D39</f>
        <v>11337680</v>
      </c>
      <c r="E41" s="392">
        <f>E14+E19+E24+E39</f>
        <v>6907903</v>
      </c>
      <c r="F41" s="392">
        <f t="shared" ref="F41:G41" si="17">F14+F19+F24+F39</f>
        <v>106032</v>
      </c>
      <c r="G41" s="392">
        <f t="shared" si="17"/>
        <v>18351615</v>
      </c>
      <c r="H41" s="422">
        <f>H14+H19+H24+H39</f>
        <v>21891639.9375</v>
      </c>
      <c r="I41" s="422">
        <f>I39+I24+I19+I14</f>
        <v>20149471.05859375</v>
      </c>
    </row>
    <row r="42" spans="1:9" s="272" customFormat="1" x14ac:dyDescent="0.25">
      <c r="A42" s="532"/>
      <c r="B42" s="366"/>
      <c r="C42" s="366"/>
      <c r="D42" s="366"/>
      <c r="E42" s="366"/>
      <c r="F42" s="366"/>
      <c r="G42" s="366"/>
      <c r="H42" s="366"/>
    </row>
    <row r="43" spans="1:9" x14ac:dyDescent="0.25">
      <c r="A43" s="532"/>
      <c r="B43" s="366"/>
      <c r="C43" s="366"/>
      <c r="D43" s="366"/>
      <c r="E43" s="366"/>
      <c r="F43" s="366"/>
      <c r="G43" s="366"/>
      <c r="H43" s="366"/>
    </row>
  </sheetData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&amp;A&amp;RPage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opLeftCell="A63" zoomScale="80" zoomScaleNormal="80" zoomScalePageLayoutView="70" workbookViewId="0">
      <pane xSplit="1" topLeftCell="L1" activePane="topRight" state="frozen"/>
      <selection pane="topRight" activeCell="O80" sqref="O80"/>
    </sheetView>
  </sheetViews>
  <sheetFormatPr defaultColWidth="8.85546875" defaultRowHeight="15" x14ac:dyDescent="0.25"/>
  <cols>
    <col min="1" max="1" width="26.7109375" style="133" customWidth="1"/>
    <col min="2" max="2" width="17.28515625" style="133" customWidth="1"/>
    <col min="3" max="3" width="18.42578125" style="133" customWidth="1"/>
    <col min="4" max="4" width="20.28515625" style="133" hidden="1" customWidth="1"/>
    <col min="5" max="5" width="15.28515625" style="133" hidden="1" customWidth="1"/>
    <col min="6" max="6" width="16" style="133" hidden="1" customWidth="1"/>
    <col min="7" max="7" width="14.7109375" style="133" hidden="1" customWidth="1"/>
    <col min="8" max="8" width="15.7109375" style="133" hidden="1" customWidth="1"/>
    <col min="9" max="9" width="15.42578125" style="133" hidden="1" customWidth="1"/>
    <col min="10" max="10" width="15" style="133" hidden="1" customWidth="1"/>
    <col min="11" max="11" width="18.28515625" style="133" hidden="1" customWidth="1"/>
    <col min="12" max="12" width="22.42578125" style="133" bestFit="1" customWidth="1"/>
    <col min="13" max="13" width="17.28515625" style="133" hidden="1" customWidth="1"/>
    <col min="14" max="14" width="18.28515625" style="133" hidden="1" customWidth="1"/>
    <col min="15" max="15" width="18.42578125" style="231" customWidth="1"/>
    <col min="16" max="16" width="18.28515625" style="231" customWidth="1"/>
  </cols>
  <sheetData>
    <row r="1" spans="1:16" s="5" customFormat="1" ht="27" thickBot="1" x14ac:dyDescent="0.45">
      <c r="A1" s="902" t="s">
        <v>114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230"/>
      <c r="P1" s="230"/>
    </row>
    <row r="2" spans="1:16" ht="48.75" customHeight="1" thickBot="1" x14ac:dyDescent="0.3">
      <c r="A2" s="106" t="s">
        <v>89</v>
      </c>
      <c r="B2" s="107" t="s">
        <v>40</v>
      </c>
      <c r="C2" s="108" t="s">
        <v>41</v>
      </c>
      <c r="D2" s="109" t="s">
        <v>211</v>
      </c>
      <c r="E2" s="109" t="s">
        <v>244</v>
      </c>
      <c r="F2" s="110" t="s">
        <v>43</v>
      </c>
      <c r="G2" s="110" t="s">
        <v>69</v>
      </c>
      <c r="H2" s="110" t="s">
        <v>170</v>
      </c>
      <c r="I2" s="110" t="s">
        <v>42</v>
      </c>
      <c r="J2" s="110" t="s">
        <v>88</v>
      </c>
      <c r="K2" s="111" t="s">
        <v>45</v>
      </c>
      <c r="L2" s="112" t="s">
        <v>469</v>
      </c>
      <c r="M2" s="112" t="s">
        <v>393</v>
      </c>
      <c r="N2" s="229" t="s">
        <v>442</v>
      </c>
      <c r="O2" s="236" t="s">
        <v>539</v>
      </c>
      <c r="P2" s="236" t="s">
        <v>540</v>
      </c>
    </row>
    <row r="3" spans="1:16" x14ac:dyDescent="0.25">
      <c r="A3" s="113"/>
      <c r="B3" s="114"/>
      <c r="C3" s="114"/>
      <c r="D3" s="114"/>
      <c r="E3" s="114"/>
      <c r="F3" s="115"/>
      <c r="G3" s="115"/>
      <c r="H3" s="115"/>
      <c r="I3" s="114"/>
      <c r="J3" s="116"/>
      <c r="K3" s="116"/>
      <c r="L3" s="114"/>
      <c r="M3" s="114"/>
      <c r="N3" s="232"/>
      <c r="O3" s="237"/>
      <c r="P3" s="237"/>
    </row>
    <row r="4" spans="1:16" s="9" customFormat="1" x14ac:dyDescent="0.25">
      <c r="A4" s="117" t="s">
        <v>90</v>
      </c>
      <c r="B4" s="118" t="e">
        <f>COUNCIL!#REF!</f>
        <v>#REF!</v>
      </c>
      <c r="C4" s="118">
        <v>0</v>
      </c>
      <c r="D4" s="118" t="e">
        <f>COUNCIL!#REF!</f>
        <v>#REF!</v>
      </c>
      <c r="E4" s="118">
        <v>0</v>
      </c>
      <c r="F4" s="118">
        <v>0</v>
      </c>
      <c r="G4" s="118">
        <v>0</v>
      </c>
      <c r="H4" s="118">
        <v>0</v>
      </c>
      <c r="I4" s="118" t="e">
        <f>COUNCIL!#REF!</f>
        <v>#REF!</v>
      </c>
      <c r="J4" s="118">
        <v>0</v>
      </c>
      <c r="K4" s="118">
        <v>0</v>
      </c>
      <c r="L4" s="118" t="e">
        <f>SUM(B4:K4)</f>
        <v>#REF!</v>
      </c>
      <c r="M4" s="118">
        <f>COUNCIL!C24</f>
        <v>19796420.78125</v>
      </c>
      <c r="N4" s="233">
        <f>COUNCIL!H24</f>
        <v>21052447.080078125</v>
      </c>
      <c r="O4" s="51">
        <f>COUNCIL!B24</f>
        <v>17249572.5</v>
      </c>
      <c r="P4" s="51" t="e">
        <f>L4-O4</f>
        <v>#REF!</v>
      </c>
    </row>
    <row r="5" spans="1:16" x14ac:dyDescent="0.25">
      <c r="A5" s="119" t="s">
        <v>91</v>
      </c>
      <c r="B5" s="120" t="e">
        <f>MM!#REF!</f>
        <v>#REF!</v>
      </c>
      <c r="C5" s="120" t="e">
        <f>MM!#REF!</f>
        <v>#REF!</v>
      </c>
      <c r="D5" s="120" t="e">
        <f>MM!#REF!</f>
        <v>#REF!</v>
      </c>
      <c r="E5" s="118">
        <v>0</v>
      </c>
      <c r="F5" s="120">
        <v>0</v>
      </c>
      <c r="G5" s="120">
        <v>0</v>
      </c>
      <c r="H5" s="120">
        <v>0</v>
      </c>
      <c r="I5" s="120" t="e">
        <f>MM!#REF!</f>
        <v>#REF!</v>
      </c>
      <c r="J5" s="120">
        <v>0</v>
      </c>
      <c r="K5" s="120">
        <v>0</v>
      </c>
      <c r="L5" s="118" t="e">
        <f t="shared" ref="L5:L71" si="0">SUM(B5:K5)</f>
        <v>#REF!</v>
      </c>
      <c r="M5" s="120">
        <f>MM!C44</f>
        <v>40288224.262500003</v>
      </c>
      <c r="N5" s="234">
        <f>MM!H44</f>
        <v>42061351.37890625</v>
      </c>
      <c r="O5" s="237">
        <f>MM!B44</f>
        <v>5998273</v>
      </c>
      <c r="P5" s="51" t="e">
        <f t="shared" ref="P5:P66" si="1">L5-O5</f>
        <v>#REF!</v>
      </c>
    </row>
    <row r="6" spans="1:16" x14ac:dyDescent="0.25">
      <c r="A6" s="119" t="s">
        <v>92</v>
      </c>
      <c r="B6" s="120" t="e">
        <f>IA!#REF!</f>
        <v>#REF!</v>
      </c>
      <c r="C6" s="120" t="e">
        <f>IA!#REF!</f>
        <v>#REF!</v>
      </c>
      <c r="D6" s="120" t="e">
        <f>IA!#REF!</f>
        <v>#REF!</v>
      </c>
      <c r="E6" s="118">
        <v>0</v>
      </c>
      <c r="F6" s="120">
        <v>0</v>
      </c>
      <c r="G6" s="120">
        <v>0</v>
      </c>
      <c r="H6" s="120">
        <v>0</v>
      </c>
      <c r="I6" s="120" t="e">
        <f>IA!#REF!</f>
        <v>#REF!</v>
      </c>
      <c r="J6" s="120">
        <v>0</v>
      </c>
      <c r="K6" s="120">
        <v>0</v>
      </c>
      <c r="L6" s="118" t="e">
        <f t="shared" si="0"/>
        <v>#REF!</v>
      </c>
      <c r="M6" s="120">
        <f>IA!B31</f>
        <v>9115304.2874999996</v>
      </c>
      <c r="N6" s="234">
        <f>IA!G31</f>
        <v>9821191.85546875</v>
      </c>
      <c r="O6" s="237" t="e">
        <f>IA!#REF!</f>
        <v>#REF!</v>
      </c>
      <c r="P6" s="51" t="e">
        <f t="shared" si="1"/>
        <v>#REF!</v>
      </c>
    </row>
    <row r="7" spans="1:16" x14ac:dyDescent="0.25">
      <c r="A7" s="117" t="s">
        <v>401</v>
      </c>
      <c r="B7" s="120" t="e">
        <f>CFO!#REF!</f>
        <v>#REF!</v>
      </c>
      <c r="C7" s="120" t="e">
        <f>CFO!#REF!</f>
        <v>#REF!</v>
      </c>
      <c r="D7" s="120" t="e">
        <f>CFO!#REF!</f>
        <v>#REF!</v>
      </c>
      <c r="E7" s="118"/>
      <c r="F7" s="120" t="e">
        <f>CFO!#REF!</f>
        <v>#REF!</v>
      </c>
      <c r="G7" s="120"/>
      <c r="H7" s="120">
        <v>0</v>
      </c>
      <c r="I7" s="120" t="e">
        <f>CFO!#REF!</f>
        <v>#REF!</v>
      </c>
      <c r="J7" s="120">
        <v>0</v>
      </c>
      <c r="K7" s="120"/>
      <c r="L7" s="118" t="e">
        <f t="shared" si="0"/>
        <v>#REF!</v>
      </c>
      <c r="M7" s="120">
        <f>CFO!C39</f>
        <v>14119222.2775</v>
      </c>
      <c r="N7" s="234">
        <f>CFO!H39</f>
        <v>14111075.969843749</v>
      </c>
      <c r="O7" s="237">
        <f ca="1">CFO!B39</f>
        <v>24036156</v>
      </c>
      <c r="P7" s="51" t="e">
        <f t="shared" ca="1" si="1"/>
        <v>#REF!</v>
      </c>
    </row>
    <row r="8" spans="1:16" x14ac:dyDescent="0.25">
      <c r="A8" s="117" t="s">
        <v>405</v>
      </c>
      <c r="B8" s="120" t="e">
        <f>'Budget and Reporting'!#REF!</f>
        <v>#REF!</v>
      </c>
      <c r="C8" s="120" t="e">
        <f>'Budget and Reporting'!#REF!</f>
        <v>#REF!</v>
      </c>
      <c r="D8" s="120">
        <v>0</v>
      </c>
      <c r="E8" s="118"/>
      <c r="F8" s="120" t="e">
        <f>'Budget and Reporting'!#REF!</f>
        <v>#REF!</v>
      </c>
      <c r="G8" s="120"/>
      <c r="H8" s="120">
        <v>0</v>
      </c>
      <c r="I8" s="120" t="e">
        <f>'Budget and Reporting'!#REF!</f>
        <v>#REF!</v>
      </c>
      <c r="J8" s="120">
        <v>0</v>
      </c>
      <c r="K8" s="120"/>
      <c r="L8" s="118" t="e">
        <f t="shared" si="0"/>
        <v>#REF!</v>
      </c>
      <c r="M8" s="120">
        <f>'Budget and Reporting'!C31</f>
        <v>6340923.75</v>
      </c>
      <c r="N8" s="234">
        <f>'Budget and Reporting'!H31</f>
        <v>3549864.0843750001</v>
      </c>
      <c r="O8" s="237">
        <f>'Budget and Reporting'!B31</f>
        <v>4413180</v>
      </c>
      <c r="P8" s="51" t="e">
        <f t="shared" si="1"/>
        <v>#REF!</v>
      </c>
    </row>
    <row r="9" spans="1:16" x14ac:dyDescent="0.25">
      <c r="A9" s="117" t="s">
        <v>402</v>
      </c>
      <c r="B9" s="120" t="e">
        <f>Expenditure!#REF!</f>
        <v>#REF!</v>
      </c>
      <c r="C9" s="120" t="e">
        <f>Expenditure!#REF!</f>
        <v>#REF!</v>
      </c>
      <c r="D9" s="120">
        <v>0</v>
      </c>
      <c r="E9" s="118"/>
      <c r="F9" s="120">
        <v>0</v>
      </c>
      <c r="G9" s="120"/>
      <c r="H9" s="120">
        <v>0</v>
      </c>
      <c r="I9" s="120" t="e">
        <f>Expenditure!#REF!</f>
        <v>#REF!</v>
      </c>
      <c r="J9" s="120">
        <v>0</v>
      </c>
      <c r="K9" s="120"/>
      <c r="L9" s="118" t="e">
        <f t="shared" si="0"/>
        <v>#REF!</v>
      </c>
      <c r="M9" s="120">
        <f>Expenditure!C32</f>
        <v>12648515.885</v>
      </c>
      <c r="N9" s="234">
        <f>Expenditure!H32</f>
        <v>13439153.4278125</v>
      </c>
      <c r="O9" s="237">
        <f>Expenditure!B32</f>
        <v>12038208</v>
      </c>
      <c r="P9" s="51" t="e">
        <f t="shared" si="1"/>
        <v>#REF!</v>
      </c>
    </row>
    <row r="10" spans="1:16" x14ac:dyDescent="0.25">
      <c r="A10" s="117" t="s">
        <v>403</v>
      </c>
      <c r="B10" s="120" t="e">
        <f>'Revenue Management'!#REF!</f>
        <v>#REF!</v>
      </c>
      <c r="C10" s="120" t="e">
        <f>'Revenue Management'!#REF!</f>
        <v>#REF!</v>
      </c>
      <c r="D10" s="120">
        <v>0</v>
      </c>
      <c r="E10" s="118"/>
      <c r="F10" s="120" t="e">
        <f>'Revenue Management'!#REF!</f>
        <v>#REF!</v>
      </c>
      <c r="G10" s="120"/>
      <c r="H10" s="120">
        <v>0</v>
      </c>
      <c r="I10" s="120" t="e">
        <f>'Revenue Management'!#REF!</f>
        <v>#REF!</v>
      </c>
      <c r="J10" s="120">
        <v>0</v>
      </c>
      <c r="K10" s="120"/>
      <c r="L10" s="118" t="e">
        <f t="shared" si="0"/>
        <v>#REF!</v>
      </c>
      <c r="M10" s="120">
        <f>'Revenue Management'!C34</f>
        <v>58266063.875</v>
      </c>
      <c r="N10" s="234">
        <f>'Revenue Management'!H34</f>
        <v>109882002.1671875</v>
      </c>
      <c r="O10" s="237">
        <f>'Revenue Management'!B34</f>
        <v>6656958</v>
      </c>
      <c r="P10" s="51" t="e">
        <f t="shared" si="1"/>
        <v>#REF!</v>
      </c>
    </row>
    <row r="11" spans="1:16" x14ac:dyDescent="0.25">
      <c r="A11" s="117" t="s">
        <v>404</v>
      </c>
      <c r="B11" s="120" t="e">
        <f>'Asset Management'!#REF!</f>
        <v>#REF!</v>
      </c>
      <c r="C11" s="120" t="e">
        <f>'Asset Management'!#REF!</f>
        <v>#REF!</v>
      </c>
      <c r="D11" s="120">
        <v>0</v>
      </c>
      <c r="E11" s="118"/>
      <c r="F11" s="120" t="e">
        <f>'Asset Management'!#REF!</f>
        <v>#REF!</v>
      </c>
      <c r="G11" s="120"/>
      <c r="H11" s="120">
        <v>0</v>
      </c>
      <c r="I11" s="120" t="e">
        <f>'Asset Management'!#REF!</f>
        <v>#REF!</v>
      </c>
      <c r="J11" s="120">
        <v>0</v>
      </c>
      <c r="K11" s="120"/>
      <c r="L11" s="118" t="e">
        <f t="shared" si="0"/>
        <v>#REF!</v>
      </c>
      <c r="M11" s="120">
        <f>'Asset Management'!C36</f>
        <v>7190924.1875</v>
      </c>
      <c r="N11" s="234">
        <f>'Asset Management'!H36</f>
        <v>7702989.5492187496</v>
      </c>
      <c r="O11" s="237">
        <f>'Asset Management'!B36</f>
        <v>4927779</v>
      </c>
      <c r="P11" s="51" t="e">
        <f t="shared" si="1"/>
        <v>#REF!</v>
      </c>
    </row>
    <row r="12" spans="1:16" s="9" customFormat="1" x14ac:dyDescent="0.25">
      <c r="A12" s="117" t="s">
        <v>400</v>
      </c>
      <c r="B12" s="118" t="e">
        <f>SCM!#REF!</f>
        <v>#REF!</v>
      </c>
      <c r="C12" s="118" t="e">
        <f>SCM!#REF!</f>
        <v>#REF!</v>
      </c>
      <c r="D12" s="118">
        <f>SCM!B20</f>
        <v>0</v>
      </c>
      <c r="E12" s="118">
        <v>0</v>
      </c>
      <c r="F12" s="118" t="e">
        <f>SCM!#REF!</f>
        <v>#REF!</v>
      </c>
      <c r="G12" s="118">
        <v>0</v>
      </c>
      <c r="H12" s="118">
        <v>0</v>
      </c>
      <c r="I12" s="118" t="e">
        <f>SCM!#REF!</f>
        <v>#REF!</v>
      </c>
      <c r="J12" s="118" t="e">
        <f>'B&amp;T CAPITAL'!#REF!</f>
        <v>#REF!</v>
      </c>
      <c r="K12" s="118">
        <v>0</v>
      </c>
      <c r="L12" s="118" t="e">
        <f t="shared" si="0"/>
        <v>#REF!</v>
      </c>
      <c r="M12" s="118">
        <f>SCM!C39+'B&amp;T CAPITAL'!C11</f>
        <v>18514905</v>
      </c>
      <c r="N12" s="233">
        <f>SCM!H39+'B&amp;T CAPITAL'!H11</f>
        <v>8430433.8625000007</v>
      </c>
      <c r="O12" s="51">
        <f>SCM!B39</f>
        <v>7018560</v>
      </c>
      <c r="P12" s="51" t="e">
        <f t="shared" si="1"/>
        <v>#REF!</v>
      </c>
    </row>
    <row r="13" spans="1:16" s="9" customFormat="1" x14ac:dyDescent="0.25">
      <c r="A13" s="117" t="s">
        <v>93</v>
      </c>
      <c r="B13" s="118" t="e">
        <f>'P&amp;D'!#REF!</f>
        <v>#REF!</v>
      </c>
      <c r="C13" s="118" t="e">
        <f>'P&amp;D'!#REF!</f>
        <v>#REF!</v>
      </c>
      <c r="D13" s="118" t="e">
        <f>'P&amp;D'!#REF!</f>
        <v>#REF!</v>
      </c>
      <c r="E13" s="118">
        <v>0</v>
      </c>
      <c r="F13" s="118" t="e">
        <f>'P&amp;D'!#REF!</f>
        <v>#REF!</v>
      </c>
      <c r="G13" s="118">
        <v>0</v>
      </c>
      <c r="H13" s="118">
        <v>0</v>
      </c>
      <c r="I13" s="118" t="e">
        <f>'P&amp;D'!#REF!</f>
        <v>#REF!</v>
      </c>
      <c r="J13" s="118">
        <v>0</v>
      </c>
      <c r="K13" s="118">
        <v>0</v>
      </c>
      <c r="L13" s="118" t="e">
        <f t="shared" si="0"/>
        <v>#REF!</v>
      </c>
      <c r="M13" s="118">
        <f>'P&amp;D'!C36</f>
        <v>2536883.58</v>
      </c>
      <c r="N13" s="233">
        <f>'P&amp;D'!H36</f>
        <v>2695536.10225</v>
      </c>
      <c r="O13" s="51">
        <f>'P&amp;D'!B36</f>
        <v>2262343</v>
      </c>
      <c r="P13" s="51" t="e">
        <f t="shared" si="1"/>
        <v>#REF!</v>
      </c>
    </row>
    <row r="14" spans="1:16" s="9" customFormat="1" x14ac:dyDescent="0.25">
      <c r="A14" s="117" t="s">
        <v>94</v>
      </c>
      <c r="B14" s="118" t="e">
        <f>LED!#REF!</f>
        <v>#REF!</v>
      </c>
      <c r="C14" s="118" t="e">
        <f>LED!#REF!</f>
        <v>#REF!</v>
      </c>
      <c r="D14" s="118" t="e">
        <f>LED!#REF!</f>
        <v>#REF!</v>
      </c>
      <c r="E14" s="118">
        <v>0</v>
      </c>
      <c r="F14" s="118">
        <v>0</v>
      </c>
      <c r="G14" s="118">
        <v>0</v>
      </c>
      <c r="H14" s="118">
        <v>0</v>
      </c>
      <c r="I14" s="118" t="e">
        <f>LED!#REF!</f>
        <v>#REF!</v>
      </c>
      <c r="J14" s="118">
        <v>0</v>
      </c>
      <c r="K14" s="118">
        <v>0</v>
      </c>
      <c r="L14" s="118" t="e">
        <f t="shared" si="0"/>
        <v>#REF!</v>
      </c>
      <c r="M14" s="118">
        <f>LED!C48</f>
        <v>26949018.202500001</v>
      </c>
      <c r="N14" s="233">
        <f>LED!H48</f>
        <v>7940509.3401562497</v>
      </c>
      <c r="O14" s="51">
        <f>LED!B48</f>
        <v>5782710</v>
      </c>
      <c r="P14" s="51" t="e">
        <f t="shared" si="1"/>
        <v>#REF!</v>
      </c>
    </row>
    <row r="15" spans="1:16" s="9" customFormat="1" x14ac:dyDescent="0.25">
      <c r="A15" s="117" t="s">
        <v>95</v>
      </c>
      <c r="B15" s="118" t="e">
        <f>IDP!#REF!</f>
        <v>#REF!</v>
      </c>
      <c r="C15" s="118" t="e">
        <f>IDP!#REF!</f>
        <v>#REF!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 t="e">
        <f>IDP!#REF!</f>
        <v>#REF!</v>
      </c>
      <c r="J15" s="118">
        <v>0</v>
      </c>
      <c r="K15" s="118">
        <v>0</v>
      </c>
      <c r="L15" s="118" t="e">
        <f t="shared" si="0"/>
        <v>#REF!</v>
      </c>
      <c r="M15" s="118">
        <f>IDP!C25</f>
        <v>4401814.75</v>
      </c>
      <c r="N15" s="233">
        <f>IDP!H25</f>
        <v>4175060.0218750001</v>
      </c>
      <c r="O15" s="51">
        <f>IDP!B25</f>
        <v>3544892</v>
      </c>
      <c r="P15" s="51" t="e">
        <f t="shared" si="1"/>
        <v>#REF!</v>
      </c>
    </row>
    <row r="16" spans="1:16" s="9" customFormat="1" x14ac:dyDescent="0.25">
      <c r="A16" s="117" t="s">
        <v>96</v>
      </c>
      <c r="B16" s="118" t="e">
        <f>COMM!#REF!</f>
        <v>#REF!</v>
      </c>
      <c r="C16" s="118" t="e">
        <f>COMM!#REF!</f>
        <v>#REF!</v>
      </c>
      <c r="D16" s="118" t="e">
        <f>COMM!#REF!</f>
        <v>#REF!</v>
      </c>
      <c r="E16" s="118">
        <v>0</v>
      </c>
      <c r="F16" s="118">
        <v>0</v>
      </c>
      <c r="G16" s="118">
        <v>0</v>
      </c>
      <c r="H16" s="118">
        <v>0</v>
      </c>
      <c r="I16" s="118" t="e">
        <f>COMM!#REF!</f>
        <v>#REF!</v>
      </c>
      <c r="J16" s="118">
        <v>0</v>
      </c>
      <c r="K16" s="118">
        <v>0</v>
      </c>
      <c r="L16" s="118" t="e">
        <f t="shared" si="0"/>
        <v>#REF!</v>
      </c>
      <c r="M16" s="118">
        <f>COMM!C31</f>
        <v>7713139.8250000002</v>
      </c>
      <c r="N16" s="233">
        <f>COMM!H31</f>
        <v>8857906.0640625004</v>
      </c>
      <c r="O16" s="51">
        <f>COMM!B31</f>
        <v>6916599</v>
      </c>
      <c r="P16" s="51" t="e">
        <f t="shared" si="1"/>
        <v>#REF!</v>
      </c>
    </row>
    <row r="17" spans="1:16" s="9" customFormat="1" x14ac:dyDescent="0.25">
      <c r="A17" s="117" t="s">
        <v>161</v>
      </c>
      <c r="B17" s="118" t="e">
        <f>ENGINEERING!#REF!</f>
        <v>#REF!</v>
      </c>
      <c r="C17" s="118" t="e">
        <f>ENGINEERING!#REF!</f>
        <v>#REF!</v>
      </c>
      <c r="D17" s="118" t="e">
        <f>ENGINEERING!#REF!</f>
        <v>#REF!</v>
      </c>
      <c r="E17" s="118">
        <v>0</v>
      </c>
      <c r="F17" s="118" t="e">
        <f>ENGINEERING!#REF!</f>
        <v>#REF!</v>
      </c>
      <c r="G17" s="118"/>
      <c r="H17" s="118">
        <f>ENGINEERING!I33</f>
        <v>0</v>
      </c>
      <c r="I17" s="118" t="e">
        <f>ENGINEERING!#REF!</f>
        <v>#REF!</v>
      </c>
      <c r="J17" s="118">
        <v>0</v>
      </c>
      <c r="K17" s="118" t="e">
        <f>ENGINEERING!#REF!</f>
        <v>#REF!</v>
      </c>
      <c r="L17" s="118" t="e">
        <f t="shared" si="0"/>
        <v>#REF!</v>
      </c>
      <c r="M17" s="118">
        <f>ENGINEERING!C35+'ENGINEERING CAPITAL'!F15</f>
        <v>7009697.0175000001</v>
      </c>
      <c r="N17" s="233">
        <f>ENGINEERING!H35+'ENGINEERING CAPITAL'!G15</f>
        <v>7431767.8810937498</v>
      </c>
      <c r="O17" s="51">
        <f>ENGINEERING!B35</f>
        <v>6806219</v>
      </c>
      <c r="P17" s="51" t="e">
        <f t="shared" si="1"/>
        <v>#REF!</v>
      </c>
    </row>
    <row r="18" spans="1:16" s="9" customFormat="1" x14ac:dyDescent="0.25">
      <c r="A18" s="117" t="s">
        <v>97</v>
      </c>
      <c r="B18" s="118" t="e">
        <f>WATER!#REF!</f>
        <v>#REF!</v>
      </c>
      <c r="C18" s="118" t="e">
        <f>WATER!#REF!</f>
        <v>#REF!</v>
      </c>
      <c r="D18" s="118" t="e">
        <f>WATER!#REF!</f>
        <v>#REF!</v>
      </c>
      <c r="E18" s="118">
        <v>0</v>
      </c>
      <c r="F18" s="118" t="e">
        <f>WATER!#REF!</f>
        <v>#REF!</v>
      </c>
      <c r="G18" s="118" t="e">
        <f>WATER!#REF!</f>
        <v>#REF!</v>
      </c>
      <c r="H18" s="118" t="e">
        <f>WATER!#REF!</f>
        <v>#REF!</v>
      </c>
      <c r="I18" s="118" t="e">
        <f>WATER!#REF!</f>
        <v>#REF!</v>
      </c>
      <c r="J18" s="118">
        <v>0</v>
      </c>
      <c r="K18" s="118" t="e">
        <f>WATER!#REF!</f>
        <v>#REF!</v>
      </c>
      <c r="L18" s="118" t="e">
        <f t="shared" si="0"/>
        <v>#REF!</v>
      </c>
      <c r="M18" s="118">
        <f>WATER!C63</f>
        <v>652531475.14999998</v>
      </c>
      <c r="N18" s="233">
        <f>WATER!H63</f>
        <v>650002192.34687495</v>
      </c>
      <c r="O18" s="51">
        <f>WATER!B63</f>
        <v>0</v>
      </c>
      <c r="P18" s="51" t="e">
        <f t="shared" si="1"/>
        <v>#REF!</v>
      </c>
    </row>
    <row r="19" spans="1:16" s="9" customFormat="1" x14ac:dyDescent="0.25">
      <c r="A19" s="117" t="s">
        <v>98</v>
      </c>
      <c r="B19" s="118" t="e">
        <f>HEALTH!#REF!</f>
        <v>#REF!</v>
      </c>
      <c r="C19" s="118" t="e">
        <f>HEALTH!#REF!</f>
        <v>#REF!</v>
      </c>
      <c r="D19" s="118">
        <v>0</v>
      </c>
      <c r="E19" s="118">
        <v>0</v>
      </c>
      <c r="F19" s="118" t="e">
        <f>HEALTH!#REF!</f>
        <v>#REF!</v>
      </c>
      <c r="G19" s="118">
        <v>0</v>
      </c>
      <c r="H19" s="118">
        <v>0</v>
      </c>
      <c r="I19" s="118" t="e">
        <f>HEALTH!#REF!</f>
        <v>#REF!</v>
      </c>
      <c r="J19" s="118">
        <v>0</v>
      </c>
      <c r="K19" s="118">
        <v>0</v>
      </c>
      <c r="L19" s="118" t="e">
        <f t="shared" si="0"/>
        <v>#REF!</v>
      </c>
      <c r="M19" s="118">
        <f>HEALTH!C40</f>
        <v>35674730.375</v>
      </c>
      <c r="N19" s="233">
        <f>HEALTH!H40</f>
        <v>37042268.2734375</v>
      </c>
      <c r="O19" s="51">
        <f>HEALTH!B40</f>
        <v>30861382</v>
      </c>
      <c r="P19" s="51" t="e">
        <f t="shared" si="1"/>
        <v>#REF!</v>
      </c>
    </row>
    <row r="20" spans="1:16" s="9" customFormat="1" x14ac:dyDescent="0.25">
      <c r="A20" s="117" t="s">
        <v>99</v>
      </c>
      <c r="B20" s="118" t="e">
        <f>ELECTRICAL!#REF!</f>
        <v>#REF!</v>
      </c>
      <c r="C20" s="118" t="e">
        <f>ELECTRICAL!#REF!</f>
        <v>#REF!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 t="e">
        <f>ELECTRICAL!#REF!</f>
        <v>#REF!</v>
      </c>
      <c r="J20" s="118">
        <v>0</v>
      </c>
      <c r="K20" s="118"/>
      <c r="L20" s="118" t="e">
        <f t="shared" si="0"/>
        <v>#REF!</v>
      </c>
      <c r="M20" s="118">
        <f>ELECTRICAL!C27</f>
        <v>2660906.125</v>
      </c>
      <c r="N20" s="233">
        <f>ELECTRICAL!H27</f>
        <v>3083505.6578124999</v>
      </c>
      <c r="O20" s="51">
        <f>ELECTRICAL!B27</f>
        <v>1629154</v>
      </c>
      <c r="P20" s="51" t="e">
        <f t="shared" si="1"/>
        <v>#REF!</v>
      </c>
    </row>
    <row r="21" spans="1:16" s="9" customFormat="1" x14ac:dyDescent="0.25">
      <c r="A21" s="117" t="s">
        <v>100</v>
      </c>
      <c r="B21" s="118" t="e">
        <f>ROADS!#REF!</f>
        <v>#REF!</v>
      </c>
      <c r="C21" s="118" t="e">
        <f>ROADS!#REF!</f>
        <v>#REF!</v>
      </c>
      <c r="D21" s="118" t="e">
        <f>ROADS!#REF!</f>
        <v>#REF!</v>
      </c>
      <c r="E21" s="118">
        <v>0</v>
      </c>
      <c r="F21" s="118" t="e">
        <f>ROADS!#REF!</f>
        <v>#REF!</v>
      </c>
      <c r="G21" s="118">
        <v>0</v>
      </c>
      <c r="H21" s="118">
        <v>0</v>
      </c>
      <c r="I21" s="118" t="e">
        <f>ROADS!#REF!</f>
        <v>#REF!</v>
      </c>
      <c r="J21" s="118">
        <v>0</v>
      </c>
      <c r="K21" s="118">
        <v>0</v>
      </c>
      <c r="L21" s="118" t="e">
        <f t="shared" si="0"/>
        <v>#REF!</v>
      </c>
      <c r="M21" s="118">
        <f>ROADS!C38</f>
        <v>7742399.6900000004</v>
      </c>
      <c r="N21" s="233">
        <f>ROADS!H38</f>
        <v>8434631.9768749997</v>
      </c>
      <c r="O21" s="51">
        <f>ROADS!B38</f>
        <v>7616578</v>
      </c>
      <c r="P21" s="51" t="e">
        <f t="shared" si="1"/>
        <v>#REF!</v>
      </c>
    </row>
    <row r="22" spans="1:16" s="9" customFormat="1" x14ac:dyDescent="0.25">
      <c r="A22" s="117" t="s">
        <v>101</v>
      </c>
      <c r="B22" s="118" t="e">
        <f>COMMUNITY!#REF!</f>
        <v>#REF!</v>
      </c>
      <c r="C22" s="118" t="e">
        <f>COMMUNITY!#REF!</f>
        <v>#REF!</v>
      </c>
      <c r="D22" s="118" t="e">
        <f>COMMUNITY!#REF!</f>
        <v>#REF!</v>
      </c>
      <c r="E22" s="118">
        <v>0</v>
      </c>
      <c r="F22" s="118" t="e">
        <f>COMMUNITY!#REF!</f>
        <v>#REF!</v>
      </c>
      <c r="G22" s="118">
        <v>0</v>
      </c>
      <c r="H22" s="118">
        <v>0</v>
      </c>
      <c r="I22" s="118" t="e">
        <f>COMMUNITY!#REF!</f>
        <v>#REF!</v>
      </c>
      <c r="J22" s="118">
        <v>0</v>
      </c>
      <c r="K22" s="118">
        <v>0</v>
      </c>
      <c r="L22" s="118" t="e">
        <f t="shared" si="0"/>
        <v>#REF!</v>
      </c>
      <c r="M22" s="118">
        <f>COMMUNITY!C33</f>
        <v>5994522.5149999997</v>
      </c>
      <c r="N22" s="233">
        <f>COMMUNITY!H33</f>
        <v>6383291.7221874995</v>
      </c>
      <c r="O22" s="51">
        <f>COMMUNITY!B33</f>
        <v>5461247</v>
      </c>
      <c r="P22" s="51" t="e">
        <f t="shared" si="1"/>
        <v>#REF!</v>
      </c>
    </row>
    <row r="23" spans="1:16" s="9" customFormat="1" x14ac:dyDescent="0.25">
      <c r="A23" s="117" t="s">
        <v>347</v>
      </c>
      <c r="B23" s="118" t="e">
        <f>'FIRE-BA PHALABORWA'!#REF!</f>
        <v>#REF!</v>
      </c>
      <c r="C23" s="118" t="e">
        <f>'FIRE-BA PHALABORWA'!#REF!</f>
        <v>#REF!</v>
      </c>
      <c r="D23" s="118" t="e">
        <f>'FIRE-BA PHALABORWA'!#REF!</f>
        <v>#REF!</v>
      </c>
      <c r="E23" s="118">
        <v>0</v>
      </c>
      <c r="F23" s="118" t="e">
        <f>'FIRE-BA PHALABORWA'!#REF!</f>
        <v>#REF!</v>
      </c>
      <c r="G23" s="118">
        <v>0</v>
      </c>
      <c r="H23" s="118">
        <v>0</v>
      </c>
      <c r="I23" s="118" t="e">
        <f>'FIRE-BA PHALABORWA'!#REF!</f>
        <v>#REF!</v>
      </c>
      <c r="J23" s="118" t="e">
        <f>'FIRE CAPITAL'!#REF!</f>
        <v>#REF!</v>
      </c>
      <c r="K23" s="118">
        <v>0</v>
      </c>
      <c r="L23" s="118" t="e">
        <f t="shared" si="0"/>
        <v>#REF!</v>
      </c>
      <c r="M23" s="118">
        <f>'FIRE-BA PHALABORWA'!C40+'FIRE CAPITAL'!C18</f>
        <v>36283386.799999997</v>
      </c>
      <c r="N23" s="233">
        <f>'FIRE-BA PHALABORWA'!H40+'FIRE CAPITAL'!H18</f>
        <v>30596658.551875003</v>
      </c>
      <c r="O23" s="51">
        <f>'FIRE-BA PHALABORWA'!B40+'FIRE CAPITAL'!B18</f>
        <v>21985300</v>
      </c>
      <c r="P23" s="51" t="e">
        <f t="shared" si="1"/>
        <v>#REF!</v>
      </c>
    </row>
    <row r="24" spans="1:16" s="9" customFormat="1" x14ac:dyDescent="0.25">
      <c r="A24" s="117" t="s">
        <v>348</v>
      </c>
      <c r="B24" s="118" t="e">
        <f>'FIRE-GIYANI'!#REF!</f>
        <v>#REF!</v>
      </c>
      <c r="C24" s="118" t="e">
        <f>'FIRE-GIYANI'!#REF!</f>
        <v>#REF!</v>
      </c>
      <c r="D24" s="118">
        <v>0</v>
      </c>
      <c r="E24" s="118">
        <v>0</v>
      </c>
      <c r="F24" s="118" t="e">
        <f>'FIRE-GIYANI'!#REF!</f>
        <v>#REF!</v>
      </c>
      <c r="G24" s="118">
        <v>0</v>
      </c>
      <c r="H24" s="118">
        <v>0</v>
      </c>
      <c r="I24" s="118" t="e">
        <f>'FIRE-GIYANI'!#REF!</f>
        <v>#REF!</v>
      </c>
      <c r="J24" s="118">
        <v>0</v>
      </c>
      <c r="K24" s="118">
        <v>0</v>
      </c>
      <c r="L24" s="118" t="e">
        <f t="shared" si="0"/>
        <v>#REF!</v>
      </c>
      <c r="M24" s="118">
        <f>'FIRE-GIYANI'!C34</f>
        <v>12707601.875</v>
      </c>
      <c r="N24" s="233">
        <f>'FIRE-GIYANI'!H34</f>
        <v>13501826.9921875</v>
      </c>
      <c r="O24" s="51">
        <f>'FIRE-GIYANI'!B34</f>
        <v>11598718</v>
      </c>
      <c r="P24" s="51" t="e">
        <f t="shared" si="1"/>
        <v>#REF!</v>
      </c>
    </row>
    <row r="25" spans="1:16" s="9" customFormat="1" x14ac:dyDescent="0.25">
      <c r="A25" s="117" t="s">
        <v>349</v>
      </c>
      <c r="B25" s="118" t="e">
        <f>'FIRE-LETABA'!#REF!</f>
        <v>#REF!</v>
      </c>
      <c r="C25" s="118" t="e">
        <f>'FIRE-LETABA'!#REF!</f>
        <v>#REF!</v>
      </c>
      <c r="D25" s="118">
        <v>0</v>
      </c>
      <c r="E25" s="118">
        <v>0</v>
      </c>
      <c r="F25" s="118" t="e">
        <f>'FIRE-LETABA'!#REF!</f>
        <v>#REF!</v>
      </c>
      <c r="G25" s="118">
        <v>0</v>
      </c>
      <c r="H25" s="118">
        <v>0</v>
      </c>
      <c r="I25" s="118" t="e">
        <f>'FIRE-LETABA'!#REF!</f>
        <v>#REF!</v>
      </c>
      <c r="J25" s="118">
        <v>0</v>
      </c>
      <c r="K25" s="118">
        <v>0</v>
      </c>
      <c r="L25" s="118" t="e">
        <f t="shared" si="0"/>
        <v>#REF!</v>
      </c>
      <c r="M25" s="118">
        <f>'FIRE-LETABA'!C36</f>
        <v>10684077.6875</v>
      </c>
      <c r="N25" s="233">
        <f>'FIRE-LETABA'!H36</f>
        <v>11351832.54296875</v>
      </c>
      <c r="O25" s="51">
        <f>'FIRE-LETABA'!B36</f>
        <v>9693563</v>
      </c>
      <c r="P25" s="51" t="e">
        <f t="shared" si="1"/>
        <v>#REF!</v>
      </c>
    </row>
    <row r="26" spans="1:16" s="9" customFormat="1" x14ac:dyDescent="0.25">
      <c r="A26" s="117" t="s">
        <v>350</v>
      </c>
      <c r="B26" s="118" t="e">
        <f>'FIRE-TZANEEN'!#REF!</f>
        <v>#REF!</v>
      </c>
      <c r="C26" s="118" t="e">
        <f>'FIRE-TZANEEN'!#REF!</f>
        <v>#REF!</v>
      </c>
      <c r="D26" s="118">
        <v>0</v>
      </c>
      <c r="E26" s="118">
        <v>0</v>
      </c>
      <c r="F26" s="118" t="e">
        <f>'FIRE-TZANEEN'!#REF!</f>
        <v>#REF!</v>
      </c>
      <c r="G26" s="118">
        <v>0</v>
      </c>
      <c r="H26" s="118">
        <v>0</v>
      </c>
      <c r="I26" s="118" t="e">
        <f>'FIRE-TZANEEN'!#REF!</f>
        <v>#REF!</v>
      </c>
      <c r="J26" s="118">
        <v>0</v>
      </c>
      <c r="K26" s="118">
        <v>0</v>
      </c>
      <c r="L26" s="118" t="e">
        <f t="shared" si="0"/>
        <v>#REF!</v>
      </c>
      <c r="M26" s="118">
        <f>'FIRE-TZANEEN'!C41</f>
        <v>18245583</v>
      </c>
      <c r="N26" s="233">
        <f>'FIRE-TZANEEN'!H41</f>
        <v>21891639.9375</v>
      </c>
      <c r="O26" s="51">
        <f>'FIRE-TZANEEN'!B41</f>
        <v>13214673</v>
      </c>
      <c r="P26" s="51" t="e">
        <f t="shared" si="1"/>
        <v>#REF!</v>
      </c>
    </row>
    <row r="27" spans="1:16" s="9" customFormat="1" x14ac:dyDescent="0.25">
      <c r="A27" s="117" t="s">
        <v>351</v>
      </c>
      <c r="B27" s="118" t="e">
        <f>'FIRE -MARULENG'!#REF!</f>
        <v>#REF!</v>
      </c>
      <c r="C27" s="118" t="e">
        <f>'FIRE -MARULENG'!#REF!</f>
        <v>#REF!</v>
      </c>
      <c r="D27" s="118">
        <v>0</v>
      </c>
      <c r="E27" s="118">
        <v>0</v>
      </c>
      <c r="F27" s="118" t="e">
        <f>'FIRE -MARULENG'!#REF!</f>
        <v>#REF!</v>
      </c>
      <c r="G27" s="118">
        <v>0</v>
      </c>
      <c r="H27" s="118">
        <v>0</v>
      </c>
      <c r="I27" s="118" t="e">
        <f>'FIRE -MARULENG'!#REF!</f>
        <v>#REF!</v>
      </c>
      <c r="J27" s="118">
        <v>0</v>
      </c>
      <c r="K27" s="118">
        <v>0</v>
      </c>
      <c r="L27" s="118" t="e">
        <f t="shared" si="0"/>
        <v>#REF!</v>
      </c>
      <c r="M27" s="118">
        <f>'FIRE -MARULENG'!C33</f>
        <v>7394044</v>
      </c>
      <c r="N27" s="233">
        <f>'FIRE -MARULENG'!H33</f>
        <v>7856171.75</v>
      </c>
      <c r="O27" s="51">
        <f>'FIRE -MARULENG'!B33</f>
        <v>7080506</v>
      </c>
      <c r="P27" s="51" t="e">
        <f t="shared" si="1"/>
        <v>#REF!</v>
      </c>
    </row>
    <row r="28" spans="1:16" s="9" customFormat="1" x14ac:dyDescent="0.25">
      <c r="A28" s="117" t="s">
        <v>102</v>
      </c>
      <c r="B28" s="118" t="e">
        <f>DISASTER!#REF!</f>
        <v>#REF!</v>
      </c>
      <c r="C28" s="118" t="e">
        <f>DISASTER!#REF!</f>
        <v>#REF!</v>
      </c>
      <c r="D28" s="118" t="e">
        <f>DISASTER!#REF!</f>
        <v>#REF!</v>
      </c>
      <c r="E28" s="118">
        <v>0</v>
      </c>
      <c r="F28" s="118" t="e">
        <f>DISASTER!#REF!</f>
        <v>#REF!</v>
      </c>
      <c r="G28" s="118">
        <v>0</v>
      </c>
      <c r="H28" s="118">
        <v>0</v>
      </c>
      <c r="I28" s="118" t="e">
        <f>DISASTER!#REF!</f>
        <v>#REF!</v>
      </c>
      <c r="J28" s="118" t="e">
        <f>'DISASTER CAPITAL'!#REF!</f>
        <v>#REF!</v>
      </c>
      <c r="K28" s="118">
        <v>0</v>
      </c>
      <c r="L28" s="118" t="e">
        <f t="shared" si="0"/>
        <v>#REF!</v>
      </c>
      <c r="M28" s="118">
        <f>DISASTER!C65+'DISASTER CAPITAL'!C15</f>
        <v>35712628</v>
      </c>
      <c r="N28" s="233">
        <f>DISASTER!H65+'DISASTER CAPITAL'!H15</f>
        <v>21796098.375</v>
      </c>
      <c r="O28" s="51" t="e">
        <f ca="1">DISASTER!B65+'DISASTER CAPITAL'!B15</f>
        <v>#REF!</v>
      </c>
      <c r="P28" s="51" t="e">
        <f t="shared" ca="1" si="1"/>
        <v>#REF!</v>
      </c>
    </row>
    <row r="29" spans="1:16" s="9" customFormat="1" x14ac:dyDescent="0.25">
      <c r="A29" s="117" t="s">
        <v>103</v>
      </c>
      <c r="B29" s="118" t="e">
        <f>CORPORATE!#REF!</f>
        <v>#REF!</v>
      </c>
      <c r="C29" s="118" t="e">
        <f>CORPORATE!#REF!</f>
        <v>#REF!</v>
      </c>
      <c r="D29" s="118" t="e">
        <f>CORPORATE!#REF!</f>
        <v>#REF!</v>
      </c>
      <c r="E29" s="118">
        <v>0</v>
      </c>
      <c r="F29" s="118" t="e">
        <f>CORPORATE!#REF!</f>
        <v>#REF!</v>
      </c>
      <c r="G29" s="118">
        <v>0</v>
      </c>
      <c r="H29" s="118">
        <v>0</v>
      </c>
      <c r="I29" s="118" t="e">
        <f>CORPORATE!#REF!</f>
        <v>#REF!</v>
      </c>
      <c r="J29" s="118">
        <v>0</v>
      </c>
      <c r="K29" s="118">
        <v>0</v>
      </c>
      <c r="L29" s="118" t="e">
        <f t="shared" si="0"/>
        <v>#REF!</v>
      </c>
      <c r="M29" s="118">
        <f>CORPORATE!C33</f>
        <v>2854158.6</v>
      </c>
      <c r="N29" s="233">
        <f>CORPORATE!H33</f>
        <v>3032570.8125</v>
      </c>
      <c r="O29" s="51">
        <f>CORPORATE!B33</f>
        <v>2606104</v>
      </c>
      <c r="P29" s="51" t="e">
        <f t="shared" si="1"/>
        <v>#REF!</v>
      </c>
    </row>
    <row r="30" spans="1:16" s="9" customFormat="1" x14ac:dyDescent="0.25">
      <c r="A30" s="117" t="s">
        <v>104</v>
      </c>
      <c r="B30" s="118" t="e">
        <f>HR!#REF!</f>
        <v>#REF!</v>
      </c>
      <c r="C30" s="118" t="e">
        <f>HR!#REF!</f>
        <v>#REF!</v>
      </c>
      <c r="D30" s="118" t="e">
        <f>HR!#REF!</f>
        <v>#REF!</v>
      </c>
      <c r="E30" s="118">
        <v>0</v>
      </c>
      <c r="F30" s="118">
        <v>0</v>
      </c>
      <c r="G30" s="118">
        <v>0</v>
      </c>
      <c r="H30" s="118">
        <v>0</v>
      </c>
      <c r="I30" s="118" t="e">
        <f>HR!#REF!</f>
        <v>#REF!</v>
      </c>
      <c r="J30" s="118">
        <v>0</v>
      </c>
      <c r="K30" s="118">
        <v>0</v>
      </c>
      <c r="L30" s="118" t="e">
        <f t="shared" si="0"/>
        <v>#REF!</v>
      </c>
      <c r="M30" s="118">
        <f>HR!C39</f>
        <v>23521561.465</v>
      </c>
      <c r="N30" s="233">
        <f>HR!H39</f>
        <v>19239088.4565625</v>
      </c>
      <c r="O30" s="51">
        <f>HR!B39</f>
        <v>14545181</v>
      </c>
      <c r="P30" s="51" t="e">
        <f t="shared" si="1"/>
        <v>#REF!</v>
      </c>
    </row>
    <row r="31" spans="1:16" s="9" customFormat="1" x14ac:dyDescent="0.25">
      <c r="A31" s="117" t="s">
        <v>105</v>
      </c>
      <c r="B31" s="118" t="e">
        <f>ADMIN!#REF!</f>
        <v>#REF!</v>
      </c>
      <c r="C31" s="118" t="e">
        <f>ADMIN!#REF!</f>
        <v>#REF!</v>
      </c>
      <c r="D31" s="118" t="e">
        <f>ADMIN!#REF!</f>
        <v>#REF!</v>
      </c>
      <c r="E31" s="118">
        <v>0</v>
      </c>
      <c r="F31" s="118" t="e">
        <f>ADMIN!#REF!</f>
        <v>#REF!</v>
      </c>
      <c r="G31" s="118">
        <v>0</v>
      </c>
      <c r="H31" s="118">
        <v>0</v>
      </c>
      <c r="I31" s="118" t="e">
        <f>ADMIN!#REF!</f>
        <v>#REF!</v>
      </c>
      <c r="J31" s="118" t="e">
        <f>'ADMINISTRATION CAPITAL'!#REF!</f>
        <v>#REF!</v>
      </c>
      <c r="K31" s="118">
        <v>0</v>
      </c>
      <c r="L31" s="118" t="e">
        <f t="shared" si="0"/>
        <v>#REF!</v>
      </c>
      <c r="M31" s="118">
        <f>ADMIN!C39+'ADMINISTRATION CAPITAL'!C9</f>
        <v>33327029.087499999</v>
      </c>
      <c r="N31" s="233">
        <f>ADMIN!H39+'ADMINISTRATION CAPITAL'!H9</f>
        <v>24799171.305468749</v>
      </c>
      <c r="O31" s="51">
        <f ca="1">ADMIN!B39</f>
        <v>31153307</v>
      </c>
      <c r="P31" s="51" t="e">
        <f t="shared" ca="1" si="1"/>
        <v>#REF!</v>
      </c>
    </row>
    <row r="32" spans="1:16" s="9" customFormat="1" x14ac:dyDescent="0.25">
      <c r="A32" s="117" t="s">
        <v>106</v>
      </c>
      <c r="B32" s="118" t="e">
        <f>LEGAL!#REF!</f>
        <v>#REF!</v>
      </c>
      <c r="C32" s="118" t="e">
        <f>LEGAL!#REF!</f>
        <v>#REF!</v>
      </c>
      <c r="D32" s="118" t="e">
        <f>LEGAL!#REF!</f>
        <v>#REF!</v>
      </c>
      <c r="E32" s="118">
        <v>0</v>
      </c>
      <c r="F32" s="118">
        <v>0</v>
      </c>
      <c r="G32" s="118">
        <v>0</v>
      </c>
      <c r="H32" s="118">
        <v>0</v>
      </c>
      <c r="I32" s="118" t="e">
        <f>LEGAL!#REF!</f>
        <v>#REF!</v>
      </c>
      <c r="J32" s="118">
        <v>0</v>
      </c>
      <c r="K32" s="118">
        <v>0</v>
      </c>
      <c r="L32" s="118" t="e">
        <f t="shared" si="0"/>
        <v>#REF!</v>
      </c>
      <c r="M32" s="118">
        <f>LEGAL!C28</f>
        <v>6878310.6974999998</v>
      </c>
      <c r="N32" s="233">
        <f>LEGAL!H28</f>
        <v>7245748.0160937505</v>
      </c>
      <c r="O32" s="51">
        <f ca="1">LEGAL!B28</f>
        <v>11423174</v>
      </c>
      <c r="P32" s="51" t="e">
        <f t="shared" ca="1" si="1"/>
        <v>#REF!</v>
      </c>
    </row>
    <row r="33" spans="1:16" s="9" customFormat="1" x14ac:dyDescent="0.25">
      <c r="A33" s="117" t="s">
        <v>168</v>
      </c>
      <c r="B33" s="118" t="e">
        <f>IT!#REF!</f>
        <v>#REF!</v>
      </c>
      <c r="C33" s="118" t="e">
        <f>IT!#REF!</f>
        <v>#REF!</v>
      </c>
      <c r="D33" s="118" t="e">
        <f>IT!#REF!</f>
        <v>#REF!</v>
      </c>
      <c r="E33" s="118">
        <v>0</v>
      </c>
      <c r="F33" s="118" t="e">
        <f>IT!#REF!</f>
        <v>#REF!</v>
      </c>
      <c r="G33" s="118" t="e">
        <f>IT!#REF!</f>
        <v>#REF!</v>
      </c>
      <c r="H33" s="118">
        <v>0</v>
      </c>
      <c r="I33" s="118" t="e">
        <f>IT!#REF!</f>
        <v>#REF!</v>
      </c>
      <c r="J33" s="118" t="e">
        <f>'IT CAPITAL'!#REF!</f>
        <v>#REF!</v>
      </c>
      <c r="K33" s="118"/>
      <c r="L33" s="118" t="e">
        <f t="shared" si="0"/>
        <v>#REF!</v>
      </c>
      <c r="M33" s="118">
        <f>IT!C43</f>
        <v>17518603.675000001</v>
      </c>
      <c r="N33" s="233">
        <f>IT!H43</f>
        <v>17239703.846093751</v>
      </c>
      <c r="O33" s="51">
        <f ca="1">IT!B43</f>
        <v>17939851</v>
      </c>
      <c r="P33" s="51" t="e">
        <f t="shared" ca="1" si="1"/>
        <v>#REF!</v>
      </c>
    </row>
    <row r="34" spans="1:16" s="9" customFormat="1" x14ac:dyDescent="0.25">
      <c r="A34" s="117" t="s">
        <v>107</v>
      </c>
      <c r="B34" s="118" t="e">
        <f>OEM!#REF!</f>
        <v>#REF!</v>
      </c>
      <c r="C34" s="118" t="e">
        <f>OEM!#REF!</f>
        <v>#REF!</v>
      </c>
      <c r="D34" s="118" t="e">
        <f>OEM!#REF!</f>
        <v>#REF!</v>
      </c>
      <c r="E34" s="118">
        <v>0</v>
      </c>
      <c r="F34" s="118" t="e">
        <f>OEM!#REF!</f>
        <v>#REF!</v>
      </c>
      <c r="G34" s="118">
        <v>0</v>
      </c>
      <c r="H34" s="118">
        <v>0</v>
      </c>
      <c r="I34" s="118" t="e">
        <f>OEM!#REF!</f>
        <v>#REF!</v>
      </c>
      <c r="J34" s="118">
        <v>0</v>
      </c>
      <c r="K34" s="118">
        <v>0</v>
      </c>
      <c r="L34" s="118" t="e">
        <f t="shared" si="0"/>
        <v>#REF!</v>
      </c>
      <c r="M34" s="118">
        <f>OEM!C56</f>
        <v>10443453.0875</v>
      </c>
      <c r="N34" s="233">
        <f>OEM!H56</f>
        <v>10810840.48671875</v>
      </c>
      <c r="O34" s="51">
        <f ca="1">OEM!B56</f>
        <v>10037217</v>
      </c>
      <c r="P34" s="51" t="e">
        <f t="shared" ca="1" si="1"/>
        <v>#REF!</v>
      </c>
    </row>
    <row r="35" spans="1:16" s="9" customFormat="1" x14ac:dyDescent="0.25">
      <c r="A35" s="117" t="s">
        <v>108</v>
      </c>
      <c r="B35" s="118" t="e">
        <f>SPEAKER!#REF!</f>
        <v>#REF!</v>
      </c>
      <c r="C35" s="118" t="e">
        <f>SPEAKER!#REF!</f>
        <v>#REF!</v>
      </c>
      <c r="D35" s="118" t="e">
        <f>SPEAKER!#REF!</f>
        <v>#REF!</v>
      </c>
      <c r="E35" s="118">
        <v>0</v>
      </c>
      <c r="F35" s="118">
        <v>0</v>
      </c>
      <c r="G35" s="118">
        <v>0</v>
      </c>
      <c r="H35" s="118">
        <v>0</v>
      </c>
      <c r="I35" s="118" t="e">
        <f>SPEAKER!#REF!</f>
        <v>#REF!</v>
      </c>
      <c r="J35" s="118">
        <v>0</v>
      </c>
      <c r="K35" s="118">
        <v>0</v>
      </c>
      <c r="L35" s="118" t="e">
        <f t="shared" si="0"/>
        <v>#REF!</v>
      </c>
      <c r="M35" s="118">
        <f>SPEAKER!C38</f>
        <v>11973932.65</v>
      </c>
      <c r="N35" s="233">
        <f>SPEAKER!H38</f>
        <v>12867049.240625</v>
      </c>
      <c r="O35" s="51">
        <f ca="1">SPEAKER!B38</f>
        <v>12568863</v>
      </c>
      <c r="P35" s="51" t="e">
        <f t="shared" ca="1" si="1"/>
        <v>#REF!</v>
      </c>
    </row>
    <row r="36" spans="1:16" s="9" customFormat="1" x14ac:dyDescent="0.25">
      <c r="A36" s="117" t="s">
        <v>109</v>
      </c>
      <c r="B36" s="118" t="e">
        <f>'CHIEF WHIP'!#REF!</f>
        <v>#REF!</v>
      </c>
      <c r="C36" s="118" t="e">
        <f>'CHIEF WHIP'!#REF!</f>
        <v>#REF!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 t="e">
        <f>'CHIEF WHIP'!#REF!</f>
        <v>#REF!</v>
      </c>
      <c r="J36" s="118">
        <v>0</v>
      </c>
      <c r="K36" s="118">
        <v>0</v>
      </c>
      <c r="L36" s="118" t="e">
        <f t="shared" si="0"/>
        <v>#REF!</v>
      </c>
      <c r="M36" s="118">
        <f>'CHIEF WHIP'!C22</f>
        <v>656662.0625</v>
      </c>
      <c r="N36" s="233">
        <f>'CHIEF WHIP'!H22</f>
        <v>697703.44140625</v>
      </c>
      <c r="O36" s="51">
        <f ca="1">'CHIEF WHIP'!B22</f>
        <v>610767</v>
      </c>
      <c r="P36" s="51" t="e">
        <f t="shared" ca="1" si="1"/>
        <v>#REF!</v>
      </c>
    </row>
    <row r="37" spans="1:16" s="9" customFormat="1" x14ac:dyDescent="0.25">
      <c r="A37" s="117" t="s">
        <v>110</v>
      </c>
      <c r="B37" s="118" t="e">
        <f>DISABILITY!#REF!</f>
        <v>#REF!</v>
      </c>
      <c r="C37" s="118" t="e">
        <f>DISABILITY!#REF!</f>
        <v>#REF!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 t="e">
        <f>DISABILITY!#REF!</f>
        <v>#REF!</v>
      </c>
      <c r="J37" s="118">
        <v>0</v>
      </c>
      <c r="K37" s="118">
        <v>0</v>
      </c>
      <c r="L37" s="118" t="e">
        <f t="shared" si="0"/>
        <v>#REF!</v>
      </c>
      <c r="M37" s="118">
        <f>DISABILITY!C25</f>
        <v>1589417.125</v>
      </c>
      <c r="N37" s="233">
        <f>DISABILITY!H25</f>
        <v>1683790.7953125001</v>
      </c>
      <c r="O37" s="51">
        <f ca="1">DISABILITY!B25</f>
        <v>1335471</v>
      </c>
      <c r="P37" s="51" t="e">
        <f t="shared" ca="1" si="1"/>
        <v>#REF!</v>
      </c>
    </row>
    <row r="38" spans="1:16" s="9" customFormat="1" x14ac:dyDescent="0.25">
      <c r="A38" s="117" t="s">
        <v>111</v>
      </c>
      <c r="B38" s="118" t="e">
        <f>GENDER!#REF!</f>
        <v>#REF!</v>
      </c>
      <c r="C38" s="118" t="e">
        <f>GENDER!#REF!</f>
        <v>#REF!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 t="e">
        <f>GENDER!#REF!</f>
        <v>#REF!</v>
      </c>
      <c r="J38" s="118">
        <v>0</v>
      </c>
      <c r="K38" s="118">
        <v>0</v>
      </c>
      <c r="L38" s="118" t="e">
        <f t="shared" si="0"/>
        <v>#REF!</v>
      </c>
      <c r="M38" s="118">
        <f>GENDER!C33</f>
        <v>1754417.125</v>
      </c>
      <c r="N38" s="233">
        <f>GENDER!H33</f>
        <v>1991665.7953125001</v>
      </c>
      <c r="O38" s="51">
        <f ca="1">GENDER!B33</f>
        <v>1341994</v>
      </c>
      <c r="P38" s="51" t="e">
        <f t="shared" ca="1" si="1"/>
        <v>#REF!</v>
      </c>
    </row>
    <row r="39" spans="1:16" s="9" customFormat="1" x14ac:dyDescent="0.25">
      <c r="A39" s="117" t="s">
        <v>112</v>
      </c>
      <c r="B39" s="118" t="e">
        <f>YOUTH!#REF!</f>
        <v>#REF!</v>
      </c>
      <c r="C39" s="118" t="e">
        <f>YOUTH!#REF!</f>
        <v>#REF!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 t="e">
        <f>YOUTH!#REF!</f>
        <v>#REF!</v>
      </c>
      <c r="J39" s="118">
        <v>0</v>
      </c>
      <c r="K39" s="118">
        <v>0</v>
      </c>
      <c r="L39" s="118" t="e">
        <f t="shared" si="0"/>
        <v>#REF!</v>
      </c>
      <c r="M39" s="118">
        <f>YOUTH!C30</f>
        <v>2631273.375</v>
      </c>
      <c r="N39" s="233">
        <f>YOUTH!H30</f>
        <v>3083263.0609375001</v>
      </c>
      <c r="O39" s="51">
        <f ca="1">YOUTH!B30</f>
        <v>1553094</v>
      </c>
      <c r="P39" s="51" t="e">
        <f t="shared" ca="1" si="1"/>
        <v>#REF!</v>
      </c>
    </row>
    <row r="40" spans="1:16" x14ac:dyDescent="0.25">
      <c r="A40" s="119" t="s">
        <v>128</v>
      </c>
      <c r="B40" s="120" t="e">
        <f>PMU!#REF!</f>
        <v>#REF!</v>
      </c>
      <c r="C40" s="120" t="e">
        <f>PMU!#REF!</f>
        <v>#REF!</v>
      </c>
      <c r="D40" s="120" t="e">
        <f>PMU!#REF!</f>
        <v>#REF!</v>
      </c>
      <c r="E40" s="118">
        <v>0</v>
      </c>
      <c r="F40" s="118">
        <v>0</v>
      </c>
      <c r="G40" s="118">
        <v>0</v>
      </c>
      <c r="H40" s="120">
        <v>0</v>
      </c>
      <c r="I40" s="120" t="e">
        <f>PMU!#REF!</f>
        <v>#REF!</v>
      </c>
      <c r="J40" s="118">
        <f>'PMU CAPITAL'!B13</f>
        <v>0</v>
      </c>
      <c r="K40" s="118" t="e">
        <f>PMU!#REF!</f>
        <v>#REF!</v>
      </c>
      <c r="L40" s="118" t="e">
        <f t="shared" si="0"/>
        <v>#REF!</v>
      </c>
      <c r="M40" s="118">
        <f>PMU!C31</f>
        <v>24070649.952500001</v>
      </c>
      <c r="N40" s="233">
        <f>PMU!H31</f>
        <v>25575065.57453125</v>
      </c>
      <c r="O40" s="237" t="e">
        <f>PMU!#REF!</f>
        <v>#REF!</v>
      </c>
      <c r="P40" s="51" t="e">
        <f t="shared" si="1"/>
        <v>#REF!</v>
      </c>
    </row>
    <row r="41" spans="1:16" x14ac:dyDescent="0.25">
      <c r="A41" s="119" t="s">
        <v>321</v>
      </c>
      <c r="B41" s="120">
        <f>'LULEKANI SEWAGE WORKS'!B9</f>
        <v>0</v>
      </c>
      <c r="C41" s="120" t="e">
        <f>'LULEKANI SEWAGE WORKS'!#REF!</f>
        <v>#REF!</v>
      </c>
      <c r="D41" s="120">
        <v>0</v>
      </c>
      <c r="E41" s="118">
        <v>0</v>
      </c>
      <c r="F41" s="118" t="e">
        <f>'LULEKANI SEWAGE WORKS'!#REF!</f>
        <v>#REF!</v>
      </c>
      <c r="G41" s="118">
        <v>0</v>
      </c>
      <c r="H41" s="120">
        <v>0</v>
      </c>
      <c r="I41" s="120" t="e">
        <f>'LULEKANI SEWAGE WORKS'!#REF!</f>
        <v>#REF!</v>
      </c>
      <c r="J41" s="118">
        <v>0</v>
      </c>
      <c r="K41" s="118">
        <v>0</v>
      </c>
      <c r="L41" s="118" t="e">
        <f t="shared" si="0"/>
        <v>#REF!</v>
      </c>
      <c r="M41" s="118">
        <f>'LULEKANI SEWAGE WORKS'!C26</f>
        <v>127500</v>
      </c>
      <c r="N41" s="233">
        <f>'LULEKANI SEWAGE WORKS'!H26</f>
        <v>135468.75</v>
      </c>
      <c r="O41" s="237">
        <f>'LULEKANI SEWAGE WORKS'!B26</f>
        <v>120000</v>
      </c>
      <c r="P41" s="51" t="e">
        <f t="shared" si="1"/>
        <v>#REF!</v>
      </c>
    </row>
    <row r="42" spans="1:16" x14ac:dyDescent="0.25">
      <c r="A42" s="119" t="s">
        <v>322</v>
      </c>
      <c r="B42" s="120">
        <f>'NAMAKGALE SEWAGE WORKS'!B9</f>
        <v>0</v>
      </c>
      <c r="C42" s="120" t="e">
        <f>'NAMAKGALE SEWAGE WORKS'!#REF!</f>
        <v>#REF!</v>
      </c>
      <c r="D42" s="120">
        <v>0</v>
      </c>
      <c r="E42" s="118">
        <v>0</v>
      </c>
      <c r="F42" s="118" t="e">
        <f>'NAMAKGALE SEWAGE WORKS'!#REF!</f>
        <v>#REF!</v>
      </c>
      <c r="G42" s="118">
        <v>0</v>
      </c>
      <c r="H42" s="120">
        <v>0</v>
      </c>
      <c r="I42" s="120" t="e">
        <f>'NAMAKGALE SEWAGE WORKS'!#REF!</f>
        <v>#REF!</v>
      </c>
      <c r="J42" s="118">
        <v>0</v>
      </c>
      <c r="K42" s="118">
        <v>0</v>
      </c>
      <c r="L42" s="118" t="e">
        <f t="shared" si="0"/>
        <v>#REF!</v>
      </c>
      <c r="M42" s="118">
        <f>'NAMAKGALE SEWAGE WORKS'!C22</f>
        <v>106250</v>
      </c>
      <c r="N42" s="233">
        <f>'NAMAKGALE SEWAGE WORKS'!H22</f>
        <v>112890.625</v>
      </c>
      <c r="O42" s="237">
        <f>'NAMAKGALE SEWAGE WORKS'!B22</f>
        <v>100000</v>
      </c>
      <c r="P42" s="51" t="e">
        <f t="shared" si="1"/>
        <v>#REF!</v>
      </c>
    </row>
    <row r="43" spans="1:16" x14ac:dyDescent="0.25">
      <c r="A43" s="119" t="s">
        <v>323</v>
      </c>
      <c r="B43" s="120">
        <f>'NONDWENI WATER WORKS'!B9</f>
        <v>0</v>
      </c>
      <c r="C43" s="120" t="e">
        <f>'NONDWENI WATER WORKS'!#REF!</f>
        <v>#REF!</v>
      </c>
      <c r="D43" s="120">
        <v>0</v>
      </c>
      <c r="E43" s="118">
        <v>0</v>
      </c>
      <c r="F43" s="118" t="e">
        <f>'NONDWENI WATER WORKS'!#REF!</f>
        <v>#REF!</v>
      </c>
      <c r="G43" s="118">
        <v>0</v>
      </c>
      <c r="H43" s="120">
        <v>0</v>
      </c>
      <c r="I43" s="120" t="e">
        <f>'NONDWENI WATER WORKS'!#REF!</f>
        <v>#REF!</v>
      </c>
      <c r="J43" s="118">
        <v>0</v>
      </c>
      <c r="K43" s="118">
        <v>0</v>
      </c>
      <c r="L43" s="118" t="e">
        <f t="shared" si="0"/>
        <v>#REF!</v>
      </c>
      <c r="M43" s="118">
        <f>'NONDWENI WATER WORKS'!C27</f>
        <v>119000</v>
      </c>
      <c r="N43" s="233">
        <f>'NONDWENI WATER WORKS'!H27</f>
        <v>126437.5</v>
      </c>
      <c r="O43" s="237">
        <f>'NONDWENI WATER WORKS'!B27</f>
        <v>112000</v>
      </c>
      <c r="P43" s="51" t="e">
        <f t="shared" si="1"/>
        <v>#REF!</v>
      </c>
    </row>
    <row r="44" spans="1:16" x14ac:dyDescent="0.25">
      <c r="A44" s="119" t="s">
        <v>324</v>
      </c>
      <c r="B44" s="120">
        <f>'GIYANI WATER WORKS'!B9</f>
        <v>0</v>
      </c>
      <c r="C44" s="120" t="e">
        <f>'GIYANI WATER WORKS'!#REF!</f>
        <v>#REF!</v>
      </c>
      <c r="D44" s="120">
        <v>0</v>
      </c>
      <c r="E44" s="118">
        <v>0</v>
      </c>
      <c r="F44" s="118" t="e">
        <f>'GIYANI WATER WORKS'!#REF!</f>
        <v>#REF!</v>
      </c>
      <c r="G44" s="118">
        <v>0</v>
      </c>
      <c r="H44" s="120">
        <v>0</v>
      </c>
      <c r="I44" s="120" t="e">
        <f>'GIYANI WATER WORKS'!#REF!</f>
        <v>#REF!</v>
      </c>
      <c r="J44" s="118">
        <v>0</v>
      </c>
      <c r="K44" s="118">
        <v>0</v>
      </c>
      <c r="L44" s="118" t="e">
        <f t="shared" si="0"/>
        <v>#REF!</v>
      </c>
      <c r="M44" s="118">
        <f>'GIYANI WATER WORKS'!C26</f>
        <v>127500</v>
      </c>
      <c r="N44" s="233">
        <f>'GIYANI WATER WORKS'!H26</f>
        <v>135468.75</v>
      </c>
      <c r="O44" s="237">
        <f>'GIYANI WATER WORKS'!B26</f>
        <v>120000</v>
      </c>
      <c r="P44" s="51" t="e">
        <f t="shared" si="1"/>
        <v>#REF!</v>
      </c>
    </row>
    <row r="45" spans="1:16" x14ac:dyDescent="0.25">
      <c r="A45" s="119" t="s">
        <v>325</v>
      </c>
      <c r="B45" s="120">
        <f>'MAPUVE WATER WORKS'!B9</f>
        <v>0</v>
      </c>
      <c r="C45" s="120">
        <f>'MAPUVE WATER WORKS'!B16</f>
        <v>0</v>
      </c>
      <c r="D45" s="120">
        <v>0</v>
      </c>
      <c r="E45" s="118">
        <v>0</v>
      </c>
      <c r="F45" s="118" t="e">
        <f>'MAPUVE WATER WORKS'!#REF!</f>
        <v>#REF!</v>
      </c>
      <c r="G45" s="118">
        <v>0</v>
      </c>
      <c r="H45" s="120">
        <v>0</v>
      </c>
      <c r="I45" s="120" t="e">
        <f>'MAPUVE WATER WORKS'!#REF!</f>
        <v>#REF!</v>
      </c>
      <c r="J45" s="118">
        <v>0</v>
      </c>
      <c r="K45" s="118">
        <v>0</v>
      </c>
      <c r="L45" s="118" t="e">
        <f t="shared" si="0"/>
        <v>#REF!</v>
      </c>
      <c r="M45" s="118">
        <f>'MAPUVE WATER WORKS'!C27</f>
        <v>106250</v>
      </c>
      <c r="N45" s="233">
        <f>'MAPUVE WATER WORKS'!H27</f>
        <v>112890.625</v>
      </c>
      <c r="O45" s="237">
        <f>'MAPUVE WATER WORKS'!B27</f>
        <v>100000</v>
      </c>
      <c r="P45" s="51" t="e">
        <f t="shared" si="1"/>
        <v>#REF!</v>
      </c>
    </row>
    <row r="46" spans="1:16" x14ac:dyDescent="0.25">
      <c r="A46" s="119" t="s">
        <v>326</v>
      </c>
      <c r="B46" s="120">
        <f>'MIDDLE LETABA WATER WORKS'!B9</f>
        <v>0</v>
      </c>
      <c r="C46" s="120">
        <f>'MIDDLE LETABA WATER WORKS'!B16</f>
        <v>0</v>
      </c>
      <c r="D46" s="120">
        <v>0</v>
      </c>
      <c r="E46" s="118">
        <v>0</v>
      </c>
      <c r="F46" s="118" t="e">
        <f>'MIDDLE LETABA WATER WORKS'!#REF!</f>
        <v>#REF!</v>
      </c>
      <c r="G46" s="118">
        <v>0</v>
      </c>
      <c r="H46" s="120">
        <v>0</v>
      </c>
      <c r="I46" s="120" t="e">
        <f>'MIDDLE LETABA WATER WORKS'!#REF!</f>
        <v>#REF!</v>
      </c>
      <c r="J46" s="118">
        <v>0</v>
      </c>
      <c r="K46" s="118">
        <v>0</v>
      </c>
      <c r="L46" s="118" t="e">
        <f t="shared" si="0"/>
        <v>#REF!</v>
      </c>
      <c r="M46" s="118">
        <f>'MIDDLE LETABA WATER WORKS'!C26</f>
        <v>198687.5</v>
      </c>
      <c r="N46" s="233">
        <f>'MIDDLE LETABA WATER WORKS'!H26</f>
        <v>211105.46875</v>
      </c>
      <c r="O46" s="237">
        <f>'MIDDLE LETABA WATER WORKS'!B26</f>
        <v>187000</v>
      </c>
      <c r="P46" s="51" t="e">
        <f t="shared" si="1"/>
        <v>#REF!</v>
      </c>
    </row>
    <row r="47" spans="1:16" x14ac:dyDescent="0.25">
      <c r="A47" s="119" t="s">
        <v>327</v>
      </c>
      <c r="B47" s="120">
        <f>'ZAVA WATER WORKS'!E8</f>
        <v>0</v>
      </c>
      <c r="C47" s="120">
        <f>'ZAVA WATER WORKS'!E15</f>
        <v>0</v>
      </c>
      <c r="D47" s="120">
        <v>0</v>
      </c>
      <c r="E47" s="118">
        <v>0</v>
      </c>
      <c r="F47" s="118" t="e">
        <f>'ZAVA WATER WORKS'!#REF!</f>
        <v>#REF!</v>
      </c>
      <c r="G47" s="118">
        <v>0</v>
      </c>
      <c r="H47" s="120">
        <v>0</v>
      </c>
      <c r="I47" s="120" t="e">
        <f>'ZAVA WATER WORKS'!#REF!</f>
        <v>#REF!</v>
      </c>
      <c r="J47" s="118">
        <v>0</v>
      </c>
      <c r="K47" s="118">
        <v>0</v>
      </c>
      <c r="L47" s="118" t="e">
        <f t="shared" si="0"/>
        <v>#REF!</v>
      </c>
      <c r="M47" s="118">
        <f>'ZAVA WATER WORKS'!F25</f>
        <v>0</v>
      </c>
      <c r="N47" s="233">
        <f>'ZAVA WATER WORKS'!G25</f>
        <v>0</v>
      </c>
      <c r="O47" s="237">
        <f>'ZAVA WATER WORKS'!E25</f>
        <v>0</v>
      </c>
      <c r="P47" s="51" t="e">
        <f t="shared" si="1"/>
        <v>#REF!</v>
      </c>
    </row>
    <row r="48" spans="1:16" x14ac:dyDescent="0.25">
      <c r="A48" s="119" t="s">
        <v>328</v>
      </c>
      <c r="B48" s="120">
        <f>'MUYEXE WATER WORKS'!B9</f>
        <v>0</v>
      </c>
      <c r="C48" s="120">
        <f>'MUYEXE WATER WORKS'!B16</f>
        <v>0</v>
      </c>
      <c r="D48" s="120">
        <v>0</v>
      </c>
      <c r="E48" s="118">
        <v>0</v>
      </c>
      <c r="F48" s="118" t="e">
        <f>'MUYEXE WATER WORKS'!#REF!</f>
        <v>#REF!</v>
      </c>
      <c r="G48" s="118">
        <v>0</v>
      </c>
      <c r="H48" s="120">
        <v>0</v>
      </c>
      <c r="I48" s="120" t="e">
        <f>'MUYEXE WATER WORKS'!#REF!</f>
        <v>#REF!</v>
      </c>
      <c r="J48" s="118">
        <v>0</v>
      </c>
      <c r="K48" s="118">
        <v>0</v>
      </c>
      <c r="L48" s="118" t="e">
        <f t="shared" si="0"/>
        <v>#REF!</v>
      </c>
      <c r="M48" s="118">
        <f>'MUYEXE WATER WORKS'!C26</f>
        <v>63750</v>
      </c>
      <c r="N48" s="233">
        <f>'MUYEXE WATER WORKS'!H26</f>
        <v>67734.375</v>
      </c>
      <c r="O48" s="237">
        <f>'MUYEXE WATER WORKS'!B26</f>
        <v>60000</v>
      </c>
      <c r="P48" s="51" t="e">
        <f t="shared" si="1"/>
        <v>#REF!</v>
      </c>
    </row>
    <row r="49" spans="1:16" x14ac:dyDescent="0.25">
      <c r="A49" s="119" t="s">
        <v>329</v>
      </c>
      <c r="B49" s="120">
        <f>'GIYANI SEWAGE WORKS'!B9</f>
        <v>0</v>
      </c>
      <c r="C49" s="120">
        <f>'GIYANI SEWAGE WORKS'!B16</f>
        <v>0</v>
      </c>
      <c r="D49" s="120">
        <v>0</v>
      </c>
      <c r="E49" s="118">
        <v>0</v>
      </c>
      <c r="F49" s="118" t="e">
        <f>'GIYANI SEWAGE WORKS'!#REF!</f>
        <v>#REF!</v>
      </c>
      <c r="G49" s="118">
        <v>0</v>
      </c>
      <c r="H49" s="120">
        <v>0</v>
      </c>
      <c r="I49" s="120" t="e">
        <f>'GIYANI SEWAGE WORKS'!#REF!</f>
        <v>#REF!</v>
      </c>
      <c r="J49" s="118">
        <v>0</v>
      </c>
      <c r="K49" s="118">
        <v>0</v>
      </c>
      <c r="L49" s="118" t="e">
        <f t="shared" si="0"/>
        <v>#REF!</v>
      </c>
      <c r="M49" s="118">
        <f>'GIYANI SEWAGE WORKS'!C21</f>
        <v>138125</v>
      </c>
      <c r="N49" s="233">
        <f>'GIYANI SEWAGE WORKS'!H21</f>
        <v>146757.8125</v>
      </c>
      <c r="O49" s="237">
        <f>'GIYANI SEWAGE WORKS'!B21</f>
        <v>130000</v>
      </c>
      <c r="P49" s="51" t="e">
        <f t="shared" si="1"/>
        <v>#REF!</v>
      </c>
    </row>
    <row r="50" spans="1:16" x14ac:dyDescent="0.25">
      <c r="A50" s="119" t="s">
        <v>330</v>
      </c>
      <c r="B50" s="120">
        <f>'IK PONDS'!B9</f>
        <v>0</v>
      </c>
      <c r="C50" s="120">
        <f>'IK PONDS'!B16</f>
        <v>0</v>
      </c>
      <c r="D50" s="120">
        <v>0</v>
      </c>
      <c r="E50" s="118">
        <v>0</v>
      </c>
      <c r="F50" s="118" t="e">
        <f>'IK PONDS'!#REF!</f>
        <v>#REF!</v>
      </c>
      <c r="G50" s="118">
        <v>0</v>
      </c>
      <c r="H50" s="120">
        <v>0</v>
      </c>
      <c r="I50" s="120" t="e">
        <f>'IK PONDS'!#REF!</f>
        <v>#REF!</v>
      </c>
      <c r="J50" s="118">
        <v>0</v>
      </c>
      <c r="K50" s="118">
        <v>0</v>
      </c>
      <c r="L50" s="118" t="e">
        <f t="shared" si="0"/>
        <v>#REF!</v>
      </c>
      <c r="M50" s="118">
        <f>'IK PONDS'!C21</f>
        <v>31875</v>
      </c>
      <c r="N50" s="233">
        <f>'IK PONDS'!H21</f>
        <v>33867.1875</v>
      </c>
      <c r="O50" s="237">
        <f>'IK PONDS'!B21</f>
        <v>30000</v>
      </c>
      <c r="P50" s="51" t="e">
        <f t="shared" si="1"/>
        <v>#REF!</v>
      </c>
    </row>
    <row r="51" spans="1:16" x14ac:dyDescent="0.25">
      <c r="A51" s="119" t="s">
        <v>331</v>
      </c>
      <c r="B51" s="120">
        <f>'MODJADJI WATER WORKS'!B9</f>
        <v>0</v>
      </c>
      <c r="C51" s="120">
        <f>'MODJADJI WATER WORKS'!B16</f>
        <v>0</v>
      </c>
      <c r="D51" s="120">
        <v>0</v>
      </c>
      <c r="E51" s="118">
        <v>0</v>
      </c>
      <c r="F51" s="118" t="e">
        <f>'MODJADJI WATER WORKS'!#REF!</f>
        <v>#REF!</v>
      </c>
      <c r="G51" s="118">
        <v>0</v>
      </c>
      <c r="H51" s="120">
        <v>0</v>
      </c>
      <c r="I51" s="120" t="e">
        <f>'MODJADJI WATER WORKS'!#REF!</f>
        <v>#REF!</v>
      </c>
      <c r="J51" s="118">
        <v>0</v>
      </c>
      <c r="K51" s="118">
        <v>0</v>
      </c>
      <c r="L51" s="118" t="e">
        <f t="shared" si="0"/>
        <v>#REF!</v>
      </c>
      <c r="M51" s="118">
        <f>'MODJADJI WATER WORKS'!C23</f>
        <v>1350000</v>
      </c>
      <c r="N51" s="233">
        <f>'MODJADJI WATER WORKS'!H23</f>
        <v>1434375</v>
      </c>
      <c r="O51" s="237">
        <f>'MODJADJI WATER WORKS'!B23</f>
        <v>30200000</v>
      </c>
      <c r="P51" s="51" t="e">
        <f t="shared" si="1"/>
        <v>#REF!</v>
      </c>
    </row>
    <row r="52" spans="1:16" x14ac:dyDescent="0.25">
      <c r="A52" s="119" t="s">
        <v>332</v>
      </c>
      <c r="B52" s="120">
        <f>'KURANTA WATER PACKAGE PLANT'!B9</f>
        <v>0</v>
      </c>
      <c r="C52" s="120">
        <f>'KURANTA WATER PACKAGE PLANT'!B16</f>
        <v>0</v>
      </c>
      <c r="D52" s="120">
        <v>0</v>
      </c>
      <c r="E52" s="118">
        <v>0</v>
      </c>
      <c r="F52" s="118" t="e">
        <f>'KURANTA WATER PACKAGE PLANT'!#REF!</f>
        <v>#REF!</v>
      </c>
      <c r="G52" s="118">
        <v>0</v>
      </c>
      <c r="H52" s="120">
        <v>0</v>
      </c>
      <c r="I52" s="120" t="e">
        <f>'KURANTA WATER PACKAGE PLANT'!#REF!</f>
        <v>#REF!</v>
      </c>
      <c r="J52" s="118">
        <v>0</v>
      </c>
      <c r="K52" s="118">
        <v>0</v>
      </c>
      <c r="L52" s="118" t="e">
        <f t="shared" si="0"/>
        <v>#REF!</v>
      </c>
      <c r="M52" s="118">
        <f>'KURANTA WATER PACKAGE PLANT'!C26</f>
        <v>53125</v>
      </c>
      <c r="N52" s="233">
        <f>'KURANTA WATER PACKAGE PLANT'!H26</f>
        <v>56445.3125</v>
      </c>
      <c r="O52" s="237">
        <f>'KURANTA WATER PACKAGE PLANT'!B26</f>
        <v>50000</v>
      </c>
      <c r="P52" s="51" t="e">
        <f t="shared" si="1"/>
        <v>#REF!</v>
      </c>
    </row>
    <row r="53" spans="1:16" x14ac:dyDescent="0.25">
      <c r="A53" s="119" t="s">
        <v>333</v>
      </c>
      <c r="B53" s="120">
        <f>'KGAPANE SEWAGE WORKS'!B9</f>
        <v>0</v>
      </c>
      <c r="C53" s="120">
        <f>'KGAPANE SEWAGE WORKS'!B16</f>
        <v>0</v>
      </c>
      <c r="D53" s="120">
        <v>0</v>
      </c>
      <c r="E53" s="118">
        <v>0</v>
      </c>
      <c r="F53" s="118" t="e">
        <f>'KGAPANE SEWAGE WORKS'!#REF!</f>
        <v>#REF!</v>
      </c>
      <c r="G53" s="118">
        <v>0</v>
      </c>
      <c r="H53" s="120">
        <v>0</v>
      </c>
      <c r="I53" s="120" t="e">
        <f>'KGAPANE SEWAGE WORKS'!#REF!</f>
        <v>#REF!</v>
      </c>
      <c r="J53" s="118">
        <v>0</v>
      </c>
      <c r="K53" s="118">
        <v>0</v>
      </c>
      <c r="L53" s="118" t="e">
        <f t="shared" si="0"/>
        <v>#REF!</v>
      </c>
      <c r="M53" s="118">
        <f>'KGAPANE SEWAGE WORKS'!C26</f>
        <v>286875</v>
      </c>
      <c r="N53" s="233">
        <f>'KGAPANE SEWAGE WORKS'!H26</f>
        <v>304804.6875</v>
      </c>
      <c r="O53" s="237">
        <f>'KGAPANE SEWAGE WORKS'!B26</f>
        <v>270000</v>
      </c>
      <c r="P53" s="51" t="e">
        <f t="shared" si="1"/>
        <v>#REF!</v>
      </c>
    </row>
    <row r="54" spans="1:16" x14ac:dyDescent="0.25">
      <c r="A54" s="119" t="s">
        <v>334</v>
      </c>
      <c r="B54" s="120">
        <f>'SENWAMOKGOPE SEWAGE WORKS'!B9</f>
        <v>0</v>
      </c>
      <c r="C54" s="120">
        <f>'SENWAMOKGOPE SEWAGE WORKS'!B16</f>
        <v>0</v>
      </c>
      <c r="D54" s="120">
        <v>0</v>
      </c>
      <c r="E54" s="118">
        <v>0</v>
      </c>
      <c r="F54" s="118" t="e">
        <f>'SENWAMOKGOPE SEWAGE WORKS'!#REF!</f>
        <v>#REF!</v>
      </c>
      <c r="G54" s="118">
        <v>0</v>
      </c>
      <c r="H54" s="120">
        <v>0</v>
      </c>
      <c r="I54" s="120" t="e">
        <f>'SENWAMOKGOPE SEWAGE WORKS'!#REF!</f>
        <v>#REF!</v>
      </c>
      <c r="J54" s="118">
        <v>0</v>
      </c>
      <c r="K54" s="118">
        <v>0</v>
      </c>
      <c r="L54" s="118" t="e">
        <f t="shared" si="0"/>
        <v>#REF!</v>
      </c>
      <c r="M54" s="118">
        <f>'SENWAMOKGOPE SEWAGE WORKS'!C26</f>
        <v>53125</v>
      </c>
      <c r="N54" s="233">
        <f>'SENWAMOKGOPE SEWAGE WORKS'!H26</f>
        <v>56445.3125</v>
      </c>
      <c r="O54" s="237">
        <f>'SENWAMOKGOPE SEWAGE WORKS'!B26</f>
        <v>50000</v>
      </c>
      <c r="P54" s="51" t="e">
        <f t="shared" si="1"/>
        <v>#REF!</v>
      </c>
    </row>
    <row r="55" spans="1:16" x14ac:dyDescent="0.25">
      <c r="A55" s="119" t="s">
        <v>335</v>
      </c>
      <c r="B55" s="120">
        <f>'NKAMBAKO WATER WORKS'!B9</f>
        <v>0</v>
      </c>
      <c r="C55" s="120">
        <f>'NKAMBAKO WATER WORKS'!B16</f>
        <v>0</v>
      </c>
      <c r="D55" s="120">
        <v>0</v>
      </c>
      <c r="E55" s="118">
        <v>0</v>
      </c>
      <c r="F55" s="118" t="e">
        <f>'NKAMBAKO WATER WORKS'!#REF!</f>
        <v>#REF!</v>
      </c>
      <c r="G55" s="118">
        <v>0</v>
      </c>
      <c r="H55" s="120">
        <v>0</v>
      </c>
      <c r="I55" s="120" t="e">
        <f>'NKAMBAKO WATER WORKS'!#REF!</f>
        <v>#REF!</v>
      </c>
      <c r="J55" s="118">
        <v>0</v>
      </c>
      <c r="K55" s="118">
        <v>0</v>
      </c>
      <c r="L55" s="118" t="e">
        <f t="shared" si="0"/>
        <v>#REF!</v>
      </c>
      <c r="M55" s="118">
        <f>'NKAMBAKO WATER WORKS'!C26</f>
        <v>0</v>
      </c>
      <c r="N55" s="233">
        <f>'NKAMBAKO WATER WORKS'!H26</f>
        <v>0</v>
      </c>
      <c r="O55" s="237">
        <f>'NKAMBAKO WATER WORKS'!B27</f>
        <v>30000</v>
      </c>
      <c r="P55" s="51" t="e">
        <f t="shared" si="1"/>
        <v>#REF!</v>
      </c>
    </row>
    <row r="56" spans="1:16" x14ac:dyDescent="0.25">
      <c r="A56" s="119" t="s">
        <v>336</v>
      </c>
      <c r="B56" s="120">
        <f>'THAPANE WATER WORKS'!B9</f>
        <v>0</v>
      </c>
      <c r="C56" s="120">
        <f>'THAPANE WATER WORKS'!B16</f>
        <v>0</v>
      </c>
      <c r="D56" s="120">
        <v>0</v>
      </c>
      <c r="E56" s="118">
        <v>0</v>
      </c>
      <c r="F56" s="118" t="e">
        <f>'THAPANE WATER WORKS'!#REF!</f>
        <v>#REF!</v>
      </c>
      <c r="G56" s="118">
        <v>0</v>
      </c>
      <c r="H56" s="120">
        <v>0</v>
      </c>
      <c r="I56" s="120" t="e">
        <f>'THAPANE WATER WORKS'!#REF!</f>
        <v>#REF!</v>
      </c>
      <c r="J56" s="118">
        <v>0</v>
      </c>
      <c r="K56" s="118">
        <v>0</v>
      </c>
      <c r="L56" s="118" t="e">
        <f t="shared" si="0"/>
        <v>#REF!</v>
      </c>
      <c r="M56" s="118">
        <f>'THAPANE WATER WORKS'!C28</f>
        <v>31875</v>
      </c>
      <c r="N56" s="233">
        <f>'THAPANE WATER WORKS'!H28</f>
        <v>33867.1875</v>
      </c>
      <c r="O56" s="237">
        <f>'THAPANE WATER WORKS'!B28</f>
        <v>30000</v>
      </c>
      <c r="P56" s="51" t="e">
        <f t="shared" si="1"/>
        <v>#REF!</v>
      </c>
    </row>
    <row r="57" spans="1:16" x14ac:dyDescent="0.25">
      <c r="A57" s="119" t="s">
        <v>337</v>
      </c>
      <c r="B57" s="120">
        <f>'THABINA WATER WORKS'!B9</f>
        <v>0</v>
      </c>
      <c r="C57" s="120">
        <f>'THABINA WATER WORKS'!B16</f>
        <v>0</v>
      </c>
      <c r="D57" s="120">
        <v>0</v>
      </c>
      <c r="E57" s="118">
        <v>0</v>
      </c>
      <c r="F57" s="118" t="e">
        <f>'THABINA WATER WORKS'!#REF!</f>
        <v>#REF!</v>
      </c>
      <c r="G57" s="118">
        <v>0</v>
      </c>
      <c r="H57" s="120">
        <v>0</v>
      </c>
      <c r="I57" s="120" t="e">
        <f>'THABINA WATER WORKS'!#REF!</f>
        <v>#REF!</v>
      </c>
      <c r="J57" s="118">
        <v>0</v>
      </c>
      <c r="K57" s="118">
        <v>0</v>
      </c>
      <c r="L57" s="118" t="e">
        <f t="shared" si="0"/>
        <v>#REF!</v>
      </c>
      <c r="M57" s="118">
        <f>'THABINA WATER WORKS'!C27</f>
        <v>74375</v>
      </c>
      <c r="N57" s="233">
        <f>'THABINA WATER WORKS'!H27</f>
        <v>79023.4375</v>
      </c>
      <c r="O57" s="237">
        <f>'THABINA WATER WORKS'!B27</f>
        <v>70000</v>
      </c>
      <c r="P57" s="51" t="e">
        <f t="shared" si="1"/>
        <v>#REF!</v>
      </c>
    </row>
    <row r="58" spans="1:16" x14ac:dyDescent="0.25">
      <c r="A58" s="119" t="s">
        <v>338</v>
      </c>
      <c r="B58" s="120">
        <f>'TOURS WATER WORKS'!B9</f>
        <v>0</v>
      </c>
      <c r="C58" s="120">
        <f>'TOURS WATER WORKS'!B16</f>
        <v>0</v>
      </c>
      <c r="D58" s="120">
        <v>0</v>
      </c>
      <c r="E58" s="118">
        <v>0</v>
      </c>
      <c r="F58" s="118" t="e">
        <f>'TOURS WATER WORKS'!#REF!</f>
        <v>#REF!</v>
      </c>
      <c r="G58" s="118">
        <v>0</v>
      </c>
      <c r="H58" s="120">
        <v>0</v>
      </c>
      <c r="I58" s="120" t="e">
        <f>'TOURS WATER WORKS'!#REF!</f>
        <v>#REF!</v>
      </c>
      <c r="J58" s="118">
        <v>0</v>
      </c>
      <c r="K58" s="118">
        <v>0</v>
      </c>
      <c r="L58" s="118" t="e">
        <f t="shared" si="0"/>
        <v>#REF!</v>
      </c>
      <c r="M58" s="118">
        <f>'TOURS WATER WORKS'!C27</f>
        <v>127500</v>
      </c>
      <c r="N58" s="233">
        <f>'TOURS WATER WORKS'!H27</f>
        <v>135468.75</v>
      </c>
      <c r="O58" s="237">
        <f>'TOURS WATER WORKS'!B27</f>
        <v>120000</v>
      </c>
      <c r="P58" s="51" t="e">
        <f t="shared" si="1"/>
        <v>#REF!</v>
      </c>
    </row>
    <row r="59" spans="1:16" x14ac:dyDescent="0.25">
      <c r="A59" s="119" t="s">
        <v>339</v>
      </c>
      <c r="B59" s="120">
        <f>'SEMARELA WATER WORKS'!B9</f>
        <v>0</v>
      </c>
      <c r="C59" s="120">
        <f>'SEMARELA WATER WORKS'!B16</f>
        <v>0</v>
      </c>
      <c r="D59" s="120">
        <v>0</v>
      </c>
      <c r="E59" s="118">
        <v>0</v>
      </c>
      <c r="F59" s="118" t="e">
        <f>'SEMARELA WATER WORKS'!#REF!</f>
        <v>#REF!</v>
      </c>
      <c r="G59" s="118">
        <v>0</v>
      </c>
      <c r="H59" s="120">
        <v>0</v>
      </c>
      <c r="I59" s="120" t="e">
        <f>'SEMARELA WATER WORKS'!#REF!</f>
        <v>#REF!</v>
      </c>
      <c r="J59" s="118">
        <v>0</v>
      </c>
      <c r="K59" s="118">
        <v>0</v>
      </c>
      <c r="L59" s="118" t="e">
        <f t="shared" si="0"/>
        <v>#REF!</v>
      </c>
      <c r="M59" s="118">
        <f>'SEMARELA WATER WORKS'!C25</f>
        <v>737800</v>
      </c>
      <c r="N59" s="233">
        <f>'SEMARELA WATER WORKS'!H25</f>
        <v>783912.5</v>
      </c>
      <c r="O59" s="237">
        <f>'SEMARELA WATER WORKS'!B25</f>
        <v>50000</v>
      </c>
      <c r="P59" s="51" t="e">
        <f t="shared" si="1"/>
        <v>#REF!</v>
      </c>
    </row>
    <row r="60" spans="1:16" x14ac:dyDescent="0.25">
      <c r="A60" s="119" t="s">
        <v>340</v>
      </c>
      <c r="B60" s="120">
        <f>'NKOWANKOWA WATER WORKS'!B9</f>
        <v>0</v>
      </c>
      <c r="C60" s="120">
        <f>'NKOWANKOWA WATER WORKS'!B16</f>
        <v>0</v>
      </c>
      <c r="D60" s="120">
        <v>0</v>
      </c>
      <c r="E60" s="118">
        <v>0</v>
      </c>
      <c r="F60" s="118" t="e">
        <f>'NKOWANKOWA WATER WORKS'!#REF!</f>
        <v>#REF!</v>
      </c>
      <c r="G60" s="118">
        <v>0</v>
      </c>
      <c r="H60" s="120">
        <v>0</v>
      </c>
      <c r="I60" s="120" t="e">
        <f>'NKOWANKOWA WATER WORKS'!#REF!</f>
        <v>#REF!</v>
      </c>
      <c r="J60" s="118">
        <v>0</v>
      </c>
      <c r="K60" s="118">
        <v>0</v>
      </c>
      <c r="L60" s="118" t="e">
        <f t="shared" si="0"/>
        <v>#REF!</v>
      </c>
      <c r="M60" s="118">
        <f>'NKOWANKOWA WATER WORKS'!C27</f>
        <v>1321250</v>
      </c>
      <c r="N60" s="233">
        <f>'NKOWANKOWA WATER WORKS'!H27</f>
        <v>1403828.125</v>
      </c>
      <c r="O60" s="237">
        <f>'NKOWANKOWA WATER WORKS'!B27</f>
        <v>30420000</v>
      </c>
      <c r="P60" s="51" t="e">
        <f t="shared" si="1"/>
        <v>#REF!</v>
      </c>
    </row>
    <row r="61" spans="1:16" x14ac:dyDescent="0.25">
      <c r="A61" s="119" t="s">
        <v>354</v>
      </c>
      <c r="B61" s="120" t="e">
        <f>'LENYENYE PONDS'!#REF!</f>
        <v>#REF!</v>
      </c>
      <c r="C61" s="120">
        <f>'LENYENYE PONDS'!B16</f>
        <v>0</v>
      </c>
      <c r="D61" s="120">
        <v>0</v>
      </c>
      <c r="E61" s="118">
        <v>0</v>
      </c>
      <c r="F61" s="118" t="e">
        <f>'LENYENYE PONDS'!#REF!</f>
        <v>#REF!</v>
      </c>
      <c r="G61" s="118">
        <v>0</v>
      </c>
      <c r="H61" s="120">
        <v>0</v>
      </c>
      <c r="I61" s="120" t="e">
        <f>'LENYENYE PONDS'!#REF!</f>
        <v>#REF!</v>
      </c>
      <c r="J61" s="118">
        <v>0</v>
      </c>
      <c r="K61" s="118">
        <v>0</v>
      </c>
      <c r="L61" s="118" t="e">
        <f t="shared" si="0"/>
        <v>#REF!</v>
      </c>
      <c r="M61" s="118">
        <f>'LENYENYE PONDS'!C26</f>
        <v>53125</v>
      </c>
      <c r="N61" s="233">
        <f>'LENYENYE PONDS'!H26</f>
        <v>56445.3125</v>
      </c>
      <c r="O61" s="237">
        <f>'LENYENYE PONDS'!B26</f>
        <v>50000</v>
      </c>
      <c r="P61" s="51" t="e">
        <f t="shared" si="1"/>
        <v>#REF!</v>
      </c>
    </row>
    <row r="62" spans="1:16" x14ac:dyDescent="0.25">
      <c r="A62" s="119" t="s">
        <v>355</v>
      </c>
      <c r="B62" s="120">
        <f>'NKOWANKOWA WATER WORKS'!B9</f>
        <v>0</v>
      </c>
      <c r="C62" s="120">
        <f>'NKOWANKOWA SEWAGE WORKS'!B16</f>
        <v>0</v>
      </c>
      <c r="D62" s="120">
        <v>0</v>
      </c>
      <c r="E62" s="118">
        <v>0</v>
      </c>
      <c r="F62" s="118" t="e">
        <f>'NKOWANKOWA SEWAGE WORKS'!#REF!</f>
        <v>#REF!</v>
      </c>
      <c r="G62" s="118">
        <v>0</v>
      </c>
      <c r="H62" s="120">
        <v>0</v>
      </c>
      <c r="I62" s="120" t="e">
        <f>'NKOWANKOWA SEWAGE WORKS'!#REF!</f>
        <v>#REF!</v>
      </c>
      <c r="J62" s="118">
        <v>0</v>
      </c>
      <c r="K62" s="118">
        <v>0</v>
      </c>
      <c r="L62" s="118" t="e">
        <f t="shared" si="0"/>
        <v>#REF!</v>
      </c>
      <c r="M62" s="118">
        <f>'NKOWANKOWA SEWAGE WORKS'!C25</f>
        <v>53125</v>
      </c>
      <c r="N62" s="233">
        <f>'NKOWANKOWA SEWAGE WORKS'!H25</f>
        <v>56445.3125</v>
      </c>
      <c r="O62" s="237">
        <f>'NKOWANKOWA SEWAGE WORKS'!B25</f>
        <v>50000</v>
      </c>
      <c r="P62" s="51" t="e">
        <f t="shared" si="1"/>
        <v>#REF!</v>
      </c>
    </row>
    <row r="63" spans="1:16" x14ac:dyDescent="0.25">
      <c r="A63" s="119" t="s">
        <v>341</v>
      </c>
      <c r="B63" s="120">
        <f>'THE OAKS WATER WORKS'!B9</f>
        <v>0</v>
      </c>
      <c r="C63" s="120">
        <f>'THE OAKS WATER WORKS'!B16</f>
        <v>0</v>
      </c>
      <c r="D63" s="120">
        <v>0</v>
      </c>
      <c r="E63" s="118">
        <v>0</v>
      </c>
      <c r="F63" s="118" t="e">
        <f>'THE OAKS WATER WORKS'!#REF!</f>
        <v>#REF!</v>
      </c>
      <c r="G63" s="118">
        <v>0</v>
      </c>
      <c r="H63" s="120">
        <v>0</v>
      </c>
      <c r="I63" s="120" t="e">
        <f>'THE OAKS WATER WORKS'!#REF!</f>
        <v>#REF!</v>
      </c>
      <c r="J63" s="118">
        <v>0</v>
      </c>
      <c r="K63" s="118">
        <v>0</v>
      </c>
      <c r="L63" s="118" t="e">
        <f t="shared" si="0"/>
        <v>#REF!</v>
      </c>
      <c r="M63" s="118">
        <f>'THE OAKS WATER WORKS'!C28</f>
        <v>127500</v>
      </c>
      <c r="N63" s="233">
        <f>'THE OAKS WATER WORKS'!H28</f>
        <v>135468.75</v>
      </c>
      <c r="O63" s="237">
        <f>'THE OAKS WATER WORKS'!B28</f>
        <v>120000</v>
      </c>
      <c r="P63" s="51" t="e">
        <f t="shared" si="1"/>
        <v>#REF!</v>
      </c>
    </row>
    <row r="64" spans="1:16" x14ac:dyDescent="0.25">
      <c r="A64" s="119" t="s">
        <v>342</v>
      </c>
      <c r="B64" s="120">
        <f>'FINALE WATER WORKS'!B9</f>
        <v>0</v>
      </c>
      <c r="C64" s="120">
        <f>'FINALE WATER WORKS'!B16</f>
        <v>0</v>
      </c>
      <c r="D64" s="120">
        <v>0</v>
      </c>
      <c r="E64" s="118">
        <v>0</v>
      </c>
      <c r="F64" s="118" t="e">
        <f>'FINALE WATER WORKS'!#REF!</f>
        <v>#REF!</v>
      </c>
      <c r="G64" s="118">
        <v>0</v>
      </c>
      <c r="H64" s="120">
        <v>0</v>
      </c>
      <c r="I64" s="120" t="e">
        <f>'FINALE WATER WORKS'!#REF!</f>
        <v>#REF!</v>
      </c>
      <c r="J64" s="118">
        <v>0</v>
      </c>
      <c r="K64" s="118">
        <v>0</v>
      </c>
      <c r="L64" s="118" t="e">
        <f t="shared" si="0"/>
        <v>#REF!</v>
      </c>
      <c r="M64" s="118">
        <f>'FINALE WATER WORKS'!C25</f>
        <v>53125</v>
      </c>
      <c r="N64" s="233">
        <f>'FINALE WATER WORKS'!H25</f>
        <v>56445.3125</v>
      </c>
      <c r="O64" s="237">
        <f>'FINALE WATER WORKS'!B25</f>
        <v>50000</v>
      </c>
      <c r="P64" s="51" t="e">
        <f t="shared" si="1"/>
        <v>#REF!</v>
      </c>
    </row>
    <row r="65" spans="1:16" x14ac:dyDescent="0.25">
      <c r="A65" s="119" t="s">
        <v>343</v>
      </c>
      <c r="B65" s="120">
        <f>'SEKORORO WATER WORKS'!E8</f>
        <v>0</v>
      </c>
      <c r="C65" s="120">
        <f>'SEKORORO WATER WORKS'!E15</f>
        <v>0</v>
      </c>
      <c r="D65" s="120">
        <v>0</v>
      </c>
      <c r="E65" s="118">
        <v>0</v>
      </c>
      <c r="F65" s="118" t="e">
        <f>'MAMETJA SEKORORO SCHEME'!#REF!</f>
        <v>#REF!</v>
      </c>
      <c r="G65" s="118">
        <v>0</v>
      </c>
      <c r="H65" s="120">
        <v>0</v>
      </c>
      <c r="I65" s="120" t="e">
        <f>'MAMETJA SEKORORO SCHEME'!#REF!</f>
        <v>#REF!</v>
      </c>
      <c r="J65" s="118">
        <v>0</v>
      </c>
      <c r="K65" s="118">
        <v>0</v>
      </c>
      <c r="L65" s="118" t="e">
        <f t="shared" si="0"/>
        <v>#REF!</v>
      </c>
      <c r="M65" s="118">
        <f>'MAMETJA SEKORORO SCHEME'!C28</f>
        <v>170000</v>
      </c>
      <c r="N65" s="233">
        <f>'MAMETJA SEKORORO SCHEME'!H28</f>
        <v>180625</v>
      </c>
      <c r="O65" s="237">
        <f>'MAMETJA SEKORORO SCHEME'!B28</f>
        <v>160000</v>
      </c>
      <c r="P65" s="51" t="e">
        <f t="shared" si="1"/>
        <v>#REF!</v>
      </c>
    </row>
    <row r="66" spans="1:16" x14ac:dyDescent="0.25">
      <c r="A66" s="119" t="s">
        <v>345</v>
      </c>
      <c r="B66" s="120">
        <f>'WATER QUALITY'!B9</f>
        <v>0</v>
      </c>
      <c r="C66" s="120">
        <f>'WATER QUALITY'!B16</f>
        <v>0</v>
      </c>
      <c r="D66" s="120">
        <v>0</v>
      </c>
      <c r="E66" s="118">
        <v>0</v>
      </c>
      <c r="F66" s="118" t="e">
        <f>'WATER QUALITY'!#REF!</f>
        <v>#REF!</v>
      </c>
      <c r="G66" s="118">
        <v>0</v>
      </c>
      <c r="H66" s="120">
        <v>0</v>
      </c>
      <c r="I66" s="120" t="e">
        <f>'WATER QUALITY'!#REF!</f>
        <v>#REF!</v>
      </c>
      <c r="J66" s="118">
        <v>0</v>
      </c>
      <c r="K66" s="118">
        <v>0</v>
      </c>
      <c r="L66" s="118" t="e">
        <f t="shared" si="0"/>
        <v>#REF!</v>
      </c>
      <c r="M66" s="118">
        <f>'WATER QUALITY'!C25</f>
        <v>53125</v>
      </c>
      <c r="N66" s="233">
        <f>'WATER QUALITY'!H25</f>
        <v>56445.3125</v>
      </c>
      <c r="O66" s="237">
        <f>'WATER QUALITY'!B25</f>
        <v>50000</v>
      </c>
      <c r="P66" s="51" t="e">
        <f t="shared" si="1"/>
        <v>#REF!</v>
      </c>
    </row>
    <row r="67" spans="1:16" x14ac:dyDescent="0.25">
      <c r="A67" s="162" t="s">
        <v>392</v>
      </c>
      <c r="B67" s="120">
        <f>'WORCESTER SCHEME'!B9</f>
        <v>0</v>
      </c>
      <c r="C67" s="120">
        <f>'WORCESTER SCHEME'!B16</f>
        <v>0</v>
      </c>
      <c r="D67" s="120">
        <v>0</v>
      </c>
      <c r="E67" s="118">
        <v>0</v>
      </c>
      <c r="F67" s="118" t="e">
        <f>'WORCESTER SCHEME'!#REF!</f>
        <v>#REF!</v>
      </c>
      <c r="G67" s="118">
        <v>0</v>
      </c>
      <c r="H67" s="120">
        <v>0</v>
      </c>
      <c r="I67" s="120" t="e">
        <f>'WORCESTER SCHEME'!#REF!</f>
        <v>#REF!</v>
      </c>
      <c r="J67" s="118"/>
      <c r="K67" s="118"/>
      <c r="L67" s="118" t="e">
        <f t="shared" si="0"/>
        <v>#REF!</v>
      </c>
      <c r="M67" s="118">
        <f>'WORCESTER SCHEME'!C28</f>
        <v>31875</v>
      </c>
      <c r="N67" s="233">
        <f>'WORCESTER SCHEME'!H28</f>
        <v>33867.1875</v>
      </c>
      <c r="O67" s="237">
        <f>'WORCESTER SCHEME'!B28</f>
        <v>30000</v>
      </c>
      <c r="P67" s="51" t="e">
        <f t="shared" ref="P67:P81" si="2">L67-O67</f>
        <v>#REF!</v>
      </c>
    </row>
    <row r="68" spans="1:16" x14ac:dyDescent="0.25">
      <c r="A68" s="162" t="s">
        <v>391</v>
      </c>
      <c r="B68" s="120">
        <f>'SEKGOSESE SCHEME'!B9</f>
        <v>0</v>
      </c>
      <c r="C68" s="120">
        <f>'SEKGOSESE SCHEME'!B16</f>
        <v>0</v>
      </c>
      <c r="D68" s="120">
        <v>0</v>
      </c>
      <c r="E68" s="118">
        <v>0</v>
      </c>
      <c r="F68" s="118" t="e">
        <f>'SEKGOSESE SCHEME'!#REF!</f>
        <v>#REF!</v>
      </c>
      <c r="G68" s="118">
        <v>0</v>
      </c>
      <c r="H68" s="120">
        <v>0</v>
      </c>
      <c r="I68" s="120" t="e">
        <f>'SEKGOSESE SCHEME'!#REF!</f>
        <v>#REF!</v>
      </c>
      <c r="J68" s="118"/>
      <c r="K68" s="118"/>
      <c r="L68" s="118" t="e">
        <f t="shared" si="0"/>
        <v>#REF!</v>
      </c>
      <c r="M68" s="118">
        <f>'SEKGOSESE SCHEME'!C25</f>
        <v>106250</v>
      </c>
      <c r="N68" s="233">
        <f>'SEKGOSESE SCHEME'!H25</f>
        <v>112890.625</v>
      </c>
      <c r="O68" s="237">
        <f>'SEKGOSESE SCHEME'!B25</f>
        <v>100000</v>
      </c>
      <c r="P68" s="51" t="e">
        <f t="shared" si="2"/>
        <v>#REF!</v>
      </c>
    </row>
    <row r="69" spans="1:16" x14ac:dyDescent="0.25">
      <c r="A69" s="162" t="s">
        <v>389</v>
      </c>
      <c r="B69" s="120">
        <f>'LOWER MOLOTOTSI'!B9</f>
        <v>0</v>
      </c>
      <c r="C69" s="120">
        <f>'LOWER MOLOTOTSI'!B16</f>
        <v>0</v>
      </c>
      <c r="D69" s="120">
        <v>0</v>
      </c>
      <c r="E69" s="118">
        <v>0</v>
      </c>
      <c r="F69" s="118" t="e">
        <f>'LOWER MOLOTOTSI'!#REF!</f>
        <v>#REF!</v>
      </c>
      <c r="G69" s="118">
        <v>0</v>
      </c>
      <c r="H69" s="120">
        <v>0</v>
      </c>
      <c r="I69" s="120" t="e">
        <f>'LOWER MOLOTOTSI'!#REF!</f>
        <v>#REF!</v>
      </c>
      <c r="J69" s="118"/>
      <c r="K69" s="118"/>
      <c r="L69" s="118" t="e">
        <f t="shared" si="0"/>
        <v>#REF!</v>
      </c>
      <c r="M69" s="118">
        <f>'LOWER MOLOTOTSI'!C27</f>
        <v>74375</v>
      </c>
      <c r="N69" s="233">
        <f>'LOWER MOLOTOTSI'!H27</f>
        <v>79023.4375</v>
      </c>
      <c r="O69" s="237">
        <f>'LOWER MOLOTOTSI'!B27</f>
        <v>70000</v>
      </c>
      <c r="P69" s="51" t="e">
        <f t="shared" si="2"/>
        <v>#REF!</v>
      </c>
    </row>
    <row r="70" spans="1:16" x14ac:dyDescent="0.25">
      <c r="A70" s="162" t="s">
        <v>390</v>
      </c>
      <c r="B70" s="120">
        <f>SEKGOPO!B9</f>
        <v>0</v>
      </c>
      <c r="C70" s="120">
        <f>SEKGOPO!B16</f>
        <v>0</v>
      </c>
      <c r="D70" s="120">
        <v>0</v>
      </c>
      <c r="E70" s="118">
        <v>0</v>
      </c>
      <c r="F70" s="118" t="e">
        <f>SEKGOPO!#REF!</f>
        <v>#REF!</v>
      </c>
      <c r="G70" s="118">
        <v>0</v>
      </c>
      <c r="H70" s="120">
        <v>0</v>
      </c>
      <c r="I70" s="120" t="e">
        <f>SEKGOPO!#REF!</f>
        <v>#REF!</v>
      </c>
      <c r="J70" s="118"/>
      <c r="K70" s="118"/>
      <c r="L70" s="118" t="e">
        <f t="shared" si="0"/>
        <v>#REF!</v>
      </c>
      <c r="M70" s="118">
        <f>SEKGOPO!C26</f>
        <v>106250</v>
      </c>
      <c r="N70" s="233">
        <f>SEKGOPO!H26</f>
        <v>112890.625</v>
      </c>
      <c r="O70" s="237">
        <f>SEKGOPO!B26</f>
        <v>100000</v>
      </c>
      <c r="P70" s="51" t="e">
        <f t="shared" si="2"/>
        <v>#REF!</v>
      </c>
    </row>
    <row r="71" spans="1:16" x14ac:dyDescent="0.25">
      <c r="A71" s="119" t="s">
        <v>228</v>
      </c>
      <c r="B71" s="120">
        <f>SUMMARY!B73</f>
        <v>12563247.971562501</v>
      </c>
      <c r="C71" s="120">
        <f>SUMMARY!C73</f>
        <v>3237034.0443124999</v>
      </c>
      <c r="D71" s="120">
        <v>0</v>
      </c>
      <c r="E71" s="120">
        <f>SUMMARY!E73</f>
        <v>46214385.25</v>
      </c>
      <c r="F71" s="118">
        <f>SUMMARY!F73</f>
        <v>15551339.375</v>
      </c>
      <c r="G71" s="118">
        <v>0</v>
      </c>
      <c r="H71" s="120">
        <v>0</v>
      </c>
      <c r="I71" s="120">
        <f>SUMMARY!I73</f>
        <v>6064194.5079999994</v>
      </c>
      <c r="J71" s="118"/>
      <c r="K71" s="118"/>
      <c r="L71" s="118">
        <f t="shared" si="0"/>
        <v>83630201.148874998</v>
      </c>
      <c r="M71" s="118"/>
      <c r="N71" s="233"/>
      <c r="O71" s="237">
        <f ca="1">'BA PHALABORWA WATER'!B52</f>
        <v>168538443.94699997</v>
      </c>
      <c r="P71" s="51">
        <f t="shared" ca="1" si="2"/>
        <v>-84908242.798124969</v>
      </c>
    </row>
    <row r="72" spans="1:16" x14ac:dyDescent="0.25">
      <c r="A72" s="119" t="s">
        <v>229</v>
      </c>
      <c r="B72" s="120">
        <f>SUMMARY!B74</f>
        <v>3307665.9109999998</v>
      </c>
      <c r="C72" s="120">
        <f>SUMMARY!C74</f>
        <v>722026.28862500004</v>
      </c>
      <c r="D72" s="120">
        <v>0</v>
      </c>
      <c r="E72" s="120">
        <f>SUMMARY!E74</f>
        <v>2671982.6956874998</v>
      </c>
      <c r="F72" s="118">
        <f>SUMMARY!F74</f>
        <v>913557.39531249995</v>
      </c>
      <c r="G72" s="118">
        <v>0</v>
      </c>
      <c r="H72" s="120">
        <v>0</v>
      </c>
      <c r="I72" s="120">
        <f>SUMMARY!I74</f>
        <v>959199.02931250003</v>
      </c>
      <c r="J72" s="118"/>
      <c r="K72" s="118"/>
      <c r="L72" s="118">
        <f t="shared" ref="L72:L79" si="3">SUM(B72:K72)</f>
        <v>8574431.3199374992</v>
      </c>
      <c r="M72" s="118"/>
      <c r="N72" s="233"/>
      <c r="O72" s="237">
        <f ca="1">'BA PHALABORWA SEWER'!B46</f>
        <v>15524400.682999996</v>
      </c>
      <c r="P72" s="51">
        <f t="shared" ca="1" si="2"/>
        <v>504378.31293749996</v>
      </c>
    </row>
    <row r="73" spans="1:16" x14ac:dyDescent="0.25">
      <c r="A73" s="119" t="s">
        <v>230</v>
      </c>
      <c r="B73" s="120">
        <f>SUMMARY!B75</f>
        <v>1795753.5625</v>
      </c>
      <c r="C73" s="120">
        <f>SUMMARY!C75</f>
        <v>393877.25</v>
      </c>
      <c r="D73" s="120">
        <v>0</v>
      </c>
      <c r="E73" s="120">
        <v>0</v>
      </c>
      <c r="F73" s="118">
        <f>SUMMARY!F75</f>
        <v>409638.375</v>
      </c>
      <c r="G73" s="118">
        <v>0</v>
      </c>
      <c r="H73" s="120">
        <v>0</v>
      </c>
      <c r="I73" s="120">
        <f>SUMMARY!I75</f>
        <v>335753.1875</v>
      </c>
      <c r="J73" s="118"/>
      <c r="K73" s="118"/>
      <c r="L73" s="118">
        <f t="shared" si="3"/>
        <v>2935022.375</v>
      </c>
      <c r="M73" s="118"/>
      <c r="N73" s="233"/>
      <c r="O73" s="237">
        <f>'GREATER GIYANI WATER'!B36</f>
        <v>2733235</v>
      </c>
      <c r="P73" s="51">
        <f t="shared" si="2"/>
        <v>201787.375</v>
      </c>
    </row>
    <row r="74" spans="1:16" x14ac:dyDescent="0.25">
      <c r="A74" s="119" t="s">
        <v>231</v>
      </c>
      <c r="B74" s="120">
        <f>SUMMARY!B76</f>
        <v>1657416.0625</v>
      </c>
      <c r="C74" s="120">
        <f>SUMMARY!C76</f>
        <v>257503.25</v>
      </c>
      <c r="D74" s="120">
        <v>0</v>
      </c>
      <c r="E74" s="120">
        <v>0</v>
      </c>
      <c r="F74" s="118">
        <f>SUMMARY!F76</f>
        <v>0</v>
      </c>
      <c r="G74" s="118">
        <v>0</v>
      </c>
      <c r="H74" s="120">
        <v>0</v>
      </c>
      <c r="I74" s="120">
        <f>SUMMARY!I76</f>
        <v>226653.83875</v>
      </c>
      <c r="J74" s="118"/>
      <c r="K74" s="118"/>
      <c r="L74" s="118">
        <f t="shared" si="3"/>
        <v>2141573.1512500001</v>
      </c>
      <c r="M74" s="118"/>
      <c r="N74" s="233"/>
      <c r="O74" s="237">
        <f ca="1">'GREATER GIYANI SEWER'!B33</f>
        <v>2268433.52</v>
      </c>
      <c r="P74" s="51">
        <f t="shared" ca="1" si="2"/>
        <v>-126860.36874999991</v>
      </c>
    </row>
    <row r="75" spans="1:16" x14ac:dyDescent="0.25">
      <c r="A75" s="119" t="s">
        <v>232</v>
      </c>
      <c r="B75" s="120">
        <f>SUMMARY!B77</f>
        <v>3387604.875</v>
      </c>
      <c r="C75" s="120">
        <f>SUMMARY!C77</f>
        <v>1118609.5625</v>
      </c>
      <c r="D75" s="120">
        <v>0</v>
      </c>
      <c r="E75" s="120">
        <f>SUMMARY!E77</f>
        <v>7214254.9375</v>
      </c>
      <c r="F75" s="118">
        <f>SUMMARY!F77</f>
        <v>760236.8125</v>
      </c>
      <c r="G75" s="118">
        <v>0</v>
      </c>
      <c r="H75" s="120">
        <f>SUMMARY!H77</f>
        <v>11076888.375</v>
      </c>
      <c r="I75" s="120">
        <f>SUMMARY!I77</f>
        <v>664781.8125</v>
      </c>
      <c r="J75" s="118"/>
      <c r="K75" s="118"/>
      <c r="L75" s="118">
        <f t="shared" si="3"/>
        <v>24222376.375</v>
      </c>
      <c r="M75" s="118"/>
      <c r="N75" s="233"/>
      <c r="O75" s="237">
        <f>'GREATER LETABA WATER'!B43</f>
        <v>22797526</v>
      </c>
      <c r="P75" s="51">
        <f t="shared" si="2"/>
        <v>1424850.375</v>
      </c>
    </row>
    <row r="76" spans="1:16" x14ac:dyDescent="0.25">
      <c r="A76" s="119" t="s">
        <v>233</v>
      </c>
      <c r="B76" s="120">
        <f>SUMMARY!B78</f>
        <v>604509.375</v>
      </c>
      <c r="C76" s="120">
        <f>SUMMARY!C78</f>
        <v>69463.0625</v>
      </c>
      <c r="D76" s="120">
        <v>0</v>
      </c>
      <c r="E76" s="120">
        <f>SUMMARY!E78</f>
        <v>1210530.6875</v>
      </c>
      <c r="F76" s="118">
        <f>SUMMARY!F78</f>
        <v>221736.3125</v>
      </c>
      <c r="G76" s="118">
        <v>0</v>
      </c>
      <c r="H76" s="120">
        <v>0</v>
      </c>
      <c r="I76" s="120">
        <f>SUMMARY!I78</f>
        <v>132033.6875</v>
      </c>
      <c r="J76" s="118"/>
      <c r="K76" s="118"/>
      <c r="L76" s="118">
        <f t="shared" si="3"/>
        <v>2238273.125</v>
      </c>
      <c r="M76" s="118"/>
      <c r="N76" s="233"/>
      <c r="O76" s="237">
        <f>'GREATER LETABA SEWERAGE'!B38</f>
        <v>2106610</v>
      </c>
      <c r="P76" s="51">
        <f t="shared" si="2"/>
        <v>131663.125</v>
      </c>
    </row>
    <row r="77" spans="1:16" x14ac:dyDescent="0.25">
      <c r="A77" s="119" t="s">
        <v>234</v>
      </c>
      <c r="B77" s="120">
        <f>SUMMARY!B79</f>
        <v>17236616.625</v>
      </c>
      <c r="C77" s="120">
        <f>SUMMARY!C79</f>
        <v>2849075.6875</v>
      </c>
      <c r="D77" s="120">
        <v>0</v>
      </c>
      <c r="E77" s="120">
        <f>SUMMARY!E79</f>
        <v>6268750</v>
      </c>
      <c r="F77" s="118">
        <f>SUMMARY!F79</f>
        <v>3898119.125</v>
      </c>
      <c r="G77" s="118">
        <f>SUMMARY!G79</f>
        <v>0</v>
      </c>
      <c r="H77" s="120">
        <f>SUMMARY!H79</f>
        <v>5564947.875</v>
      </c>
      <c r="I77" s="120">
        <f>SUMMARY!I79</f>
        <v>6815993.8125</v>
      </c>
      <c r="J77" s="118"/>
      <c r="K77" s="118"/>
      <c r="L77" s="118">
        <f t="shared" si="3"/>
        <v>42633503.125</v>
      </c>
      <c r="M77" s="118"/>
      <c r="N77" s="233"/>
      <c r="O77" s="237">
        <f ca="1">'GREATER TZN WATER PURIFICATION'!B77</f>
        <v>73122967</v>
      </c>
      <c r="P77" s="51">
        <f t="shared" ca="1" si="2"/>
        <v>-30489463.875</v>
      </c>
    </row>
    <row r="78" spans="1:16" x14ac:dyDescent="0.25">
      <c r="A78" s="119" t="s">
        <v>235</v>
      </c>
      <c r="B78" s="120">
        <f>SUMMARY!B80</f>
        <v>2995662.4375</v>
      </c>
      <c r="C78" s="120">
        <f>SUMMARY!C80</f>
        <v>387198.375</v>
      </c>
      <c r="D78" s="120">
        <v>0</v>
      </c>
      <c r="E78" s="120">
        <f>SUMMARY!E80</f>
        <v>1593750</v>
      </c>
      <c r="F78" s="118">
        <f>SUMMARY!F80</f>
        <v>2638876</v>
      </c>
      <c r="G78" s="118">
        <v>0</v>
      </c>
      <c r="H78" s="120">
        <v>0</v>
      </c>
      <c r="I78" s="120">
        <f>SUMMARY!I80</f>
        <v>560308.84375</v>
      </c>
      <c r="J78" s="118"/>
      <c r="K78" s="118"/>
      <c r="L78" s="118">
        <f t="shared" si="3"/>
        <v>8175795.65625</v>
      </c>
      <c r="M78" s="118"/>
      <c r="N78" s="233"/>
      <c r="O78" s="237">
        <f>'GREATER TZANEEN SEWERAGE'!B62</f>
        <v>7639706.5</v>
      </c>
      <c r="P78" s="51">
        <f t="shared" si="2"/>
        <v>536089.15625</v>
      </c>
    </row>
    <row r="79" spans="1:16" x14ac:dyDescent="0.25">
      <c r="A79" s="119" t="s">
        <v>236</v>
      </c>
      <c r="B79" s="120">
        <f>SUMMARY!B81</f>
        <v>1814699</v>
      </c>
      <c r="C79" s="120">
        <f>SUMMARY!C81</f>
        <v>636804.0625</v>
      </c>
      <c r="D79" s="120">
        <v>0</v>
      </c>
      <c r="E79" s="120">
        <v>0</v>
      </c>
      <c r="F79" s="118">
        <f>SUMMARY!F81</f>
        <v>684830.125</v>
      </c>
      <c r="G79" s="118">
        <v>0</v>
      </c>
      <c r="H79" s="120">
        <v>0</v>
      </c>
      <c r="I79" s="120">
        <f>SUMMARY!I81</f>
        <v>490932.90625</v>
      </c>
      <c r="J79" s="118"/>
      <c r="K79" s="118"/>
      <c r="L79" s="118">
        <f t="shared" si="3"/>
        <v>3627266.09375</v>
      </c>
      <c r="M79" s="118"/>
      <c r="N79" s="233"/>
      <c r="O79" s="237">
        <f ca="1">'MARULENG WATER &amp; SEWERAGE'!B41</f>
        <v>5323945.5</v>
      </c>
      <c r="P79" s="51">
        <f t="shared" ca="1" si="2"/>
        <v>-1696679.40625</v>
      </c>
    </row>
    <row r="80" spans="1:16" s="19" customFormat="1" x14ac:dyDescent="0.25">
      <c r="A80" s="117"/>
      <c r="B80" s="121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233"/>
      <c r="O80" s="165"/>
      <c r="P80" s="51">
        <f t="shared" si="2"/>
        <v>0</v>
      </c>
    </row>
    <row r="81" spans="1:16" s="19" customFormat="1" ht="15.75" thickBot="1" x14ac:dyDescent="0.3">
      <c r="A81" s="122"/>
      <c r="B81" s="123"/>
      <c r="C81" s="124"/>
      <c r="D81" s="124"/>
      <c r="E81" s="124"/>
      <c r="F81" s="124"/>
      <c r="G81" s="124"/>
      <c r="H81" s="124"/>
      <c r="I81" s="124"/>
      <c r="J81" s="124"/>
      <c r="K81" s="124"/>
      <c r="L81" s="118"/>
      <c r="M81" s="124"/>
      <c r="N81" s="235"/>
      <c r="O81" s="165"/>
      <c r="P81" s="51">
        <f t="shared" si="2"/>
        <v>0</v>
      </c>
    </row>
    <row r="82" spans="1:16" s="19" customFormat="1" ht="15.75" thickBot="1" x14ac:dyDescent="0.3">
      <c r="A82" s="125" t="s">
        <v>113</v>
      </c>
      <c r="B82" s="126" t="e">
        <f>SUM(B4:B80)</f>
        <v>#REF!</v>
      </c>
      <c r="C82" s="126" t="e">
        <f t="shared" ref="C82:P82" si="4">SUM(C4:C80)</f>
        <v>#REF!</v>
      </c>
      <c r="D82" s="126" t="e">
        <f t="shared" si="4"/>
        <v>#REF!</v>
      </c>
      <c r="E82" s="126">
        <f t="shared" si="4"/>
        <v>65173653.570687503</v>
      </c>
      <c r="F82" s="126" t="e">
        <f t="shared" si="4"/>
        <v>#REF!</v>
      </c>
      <c r="G82" s="126" t="e">
        <f t="shared" si="4"/>
        <v>#REF!</v>
      </c>
      <c r="H82" s="126" t="e">
        <f t="shared" si="4"/>
        <v>#REF!</v>
      </c>
      <c r="I82" s="126" t="e">
        <f t="shared" si="4"/>
        <v>#REF!</v>
      </c>
      <c r="J82" s="126" t="e">
        <f t="shared" si="4"/>
        <v>#REF!</v>
      </c>
      <c r="K82" s="126" t="e">
        <f t="shared" si="4"/>
        <v>#REF!</v>
      </c>
      <c r="L82" s="126" t="e">
        <f t="shared" si="4"/>
        <v>#REF!</v>
      </c>
      <c r="M82" s="126">
        <f t="shared" si="4"/>
        <v>1203625494.3012502</v>
      </c>
      <c r="N82" s="126">
        <f t="shared" si="4"/>
        <v>1207608406.0243587</v>
      </c>
      <c r="O82" s="126" t="e">
        <f t="shared" si="4"/>
        <v>#REF!</v>
      </c>
      <c r="P82" s="126" t="e">
        <f t="shared" si="4"/>
        <v>#REF!</v>
      </c>
    </row>
    <row r="83" spans="1:16" s="19" customFormat="1" x14ac:dyDescent="0.25">
      <c r="A83" s="127"/>
      <c r="B83" s="128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64"/>
      <c r="P83" s="64"/>
    </row>
    <row r="84" spans="1:16" s="19" customFormat="1" x14ac:dyDescent="0.25">
      <c r="A84" s="130"/>
      <c r="B84" s="131"/>
      <c r="C84" s="132"/>
      <c r="D84" s="132"/>
      <c r="E84" s="132"/>
      <c r="F84" s="129"/>
      <c r="G84" s="132"/>
      <c r="H84" s="129"/>
      <c r="I84" s="129"/>
      <c r="J84" s="129"/>
      <c r="K84" s="129"/>
      <c r="L84" s="132"/>
      <c r="M84" s="129"/>
      <c r="N84" s="129"/>
      <c r="O84" s="64"/>
      <c r="P84" s="64"/>
    </row>
    <row r="87" spans="1:16" x14ac:dyDescent="0.25">
      <c r="E87" s="200"/>
    </row>
  </sheetData>
  <mergeCells count="1">
    <mergeCell ref="A1:N1"/>
  </mergeCells>
  <pageMargins left="0" right="0" top="0.98425196850393704" bottom="0.23622047244094491" header="0.23622047244094491" footer="0.23622047244094491"/>
  <pageSetup scale="55" orientation="landscape" r:id="rId1"/>
  <headerFooter alignWithMargins="0">
    <oddHeader>&amp;C&amp;P</oddHeader>
    <oddFooter>&amp;A&amp;RPage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I35"/>
  <sheetViews>
    <sheetView view="pageBreakPreview" zoomScale="60" zoomScaleNormal="100" workbookViewId="0">
      <selection activeCell="G22" sqref="G22"/>
    </sheetView>
  </sheetViews>
  <sheetFormatPr defaultColWidth="9.28515625" defaultRowHeight="15" x14ac:dyDescent="0.25"/>
  <cols>
    <col min="1" max="1" width="43.140625" style="352" customWidth="1"/>
    <col min="2" max="2" width="16.28515625" style="247" hidden="1" customWidth="1"/>
    <col min="3" max="5" width="19.28515625" style="247" customWidth="1"/>
    <col min="6" max="6" width="14.42578125" style="247" customWidth="1"/>
    <col min="7" max="7" width="17" style="247" customWidth="1"/>
    <col min="8" max="8" width="18.7109375" style="247" customWidth="1"/>
    <col min="9" max="9" width="14.140625" style="352" customWidth="1"/>
    <col min="10" max="16384" width="9.28515625" style="352"/>
  </cols>
  <sheetData>
    <row r="1" spans="1:9" s="272" customFormat="1" ht="18.75" x14ac:dyDescent="0.3">
      <c r="A1" s="515" t="s">
        <v>483</v>
      </c>
      <c r="B1" s="362"/>
      <c r="C1" s="362"/>
      <c r="D1" s="362"/>
      <c r="E1" s="362"/>
      <c r="F1" s="362"/>
      <c r="G1" s="362"/>
      <c r="H1" s="362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0.5" customHeight="1" thickBot="1" x14ac:dyDescent="0.3">
      <c r="A3" s="517" t="s">
        <v>39</v>
      </c>
      <c r="B3" s="549" t="s">
        <v>393</v>
      </c>
      <c r="C3" s="550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84" t="s">
        <v>556</v>
      </c>
      <c r="I3" s="385" t="s">
        <v>644</v>
      </c>
    </row>
    <row r="4" spans="1:9" s="272" customFormat="1" x14ac:dyDescent="0.25">
      <c r="A4" s="522" t="s">
        <v>2</v>
      </c>
      <c r="B4" s="358">
        <v>3263782</v>
      </c>
      <c r="C4" s="158">
        <v>3263782</v>
      </c>
      <c r="D4" s="239">
        <v>2219947</v>
      </c>
      <c r="E4" s="239">
        <f>C4-D4</f>
        <v>1043835</v>
      </c>
      <c r="F4" s="239">
        <v>1000000</v>
      </c>
      <c r="G4" s="158">
        <f>C4+F4</f>
        <v>4263782</v>
      </c>
      <c r="H4" s="158">
        <f t="shared" ref="H4:H10" si="0">C4*6.25%+C4</f>
        <v>3467768.375</v>
      </c>
      <c r="I4" s="386">
        <f>H4*6.25%+H4</f>
        <v>3684503.8984375</v>
      </c>
    </row>
    <row r="5" spans="1:9" s="272" customFormat="1" x14ac:dyDescent="0.25">
      <c r="A5" s="253" t="s">
        <v>3</v>
      </c>
      <c r="B5" s="158">
        <v>271982</v>
      </c>
      <c r="C5" s="158">
        <v>271982</v>
      </c>
      <c r="D5" s="239"/>
      <c r="E5" s="239">
        <f t="shared" ref="E5:E10" si="1">C5-D5</f>
        <v>271982</v>
      </c>
      <c r="F5" s="239">
        <v>0</v>
      </c>
      <c r="G5" s="158">
        <f t="shared" ref="G5:G10" si="2">C5+F5</f>
        <v>271982</v>
      </c>
      <c r="H5" s="158">
        <f t="shared" si="0"/>
        <v>288980.875</v>
      </c>
      <c r="I5" s="386">
        <f t="shared" ref="I5:I10" si="3">H5*6.25%+H5</f>
        <v>307042.1796875</v>
      </c>
    </row>
    <row r="6" spans="1:9" s="272" customFormat="1" x14ac:dyDescent="0.25">
      <c r="A6" s="253" t="s">
        <v>17</v>
      </c>
      <c r="B6" s="158">
        <v>1176000</v>
      </c>
      <c r="C6" s="158">
        <v>1176000</v>
      </c>
      <c r="D6" s="239">
        <v>2840156</v>
      </c>
      <c r="E6" s="239">
        <f t="shared" si="1"/>
        <v>-1664156</v>
      </c>
      <c r="F6" s="239">
        <v>1700000</v>
      </c>
      <c r="G6" s="158">
        <f t="shared" si="2"/>
        <v>2876000</v>
      </c>
      <c r="H6" s="158">
        <f t="shared" si="0"/>
        <v>1249500</v>
      </c>
      <c r="I6" s="386">
        <f t="shared" si="3"/>
        <v>1327593.75</v>
      </c>
    </row>
    <row r="7" spans="1:9" s="272" customFormat="1" x14ac:dyDescent="0.25">
      <c r="A7" s="253" t="s">
        <v>172</v>
      </c>
      <c r="B7" s="158">
        <v>200000</v>
      </c>
      <c r="C7" s="158">
        <v>200000</v>
      </c>
      <c r="D7" s="239"/>
      <c r="E7" s="239">
        <f t="shared" si="1"/>
        <v>200000</v>
      </c>
      <c r="F7" s="239">
        <v>-60000</v>
      </c>
      <c r="G7" s="158">
        <f t="shared" si="2"/>
        <v>140000</v>
      </c>
      <c r="H7" s="158">
        <f t="shared" si="0"/>
        <v>212500</v>
      </c>
      <c r="I7" s="386">
        <f t="shared" si="3"/>
        <v>225781.25</v>
      </c>
    </row>
    <row r="8" spans="1:9" s="272" customFormat="1" x14ac:dyDescent="0.25">
      <c r="A8" s="253" t="s">
        <v>4</v>
      </c>
      <c r="B8" s="158">
        <v>105600</v>
      </c>
      <c r="C8" s="158">
        <v>105600</v>
      </c>
      <c r="D8" s="239">
        <v>5787</v>
      </c>
      <c r="E8" s="239">
        <f t="shared" si="1"/>
        <v>99813</v>
      </c>
      <c r="F8" s="239">
        <v>0</v>
      </c>
      <c r="G8" s="158">
        <f t="shared" si="2"/>
        <v>105600</v>
      </c>
      <c r="H8" s="158">
        <f t="shared" si="0"/>
        <v>112200</v>
      </c>
      <c r="I8" s="386">
        <f t="shared" si="3"/>
        <v>119212.5</v>
      </c>
    </row>
    <row r="9" spans="1:9" s="272" customFormat="1" x14ac:dyDescent="0.25">
      <c r="A9" s="253" t="s">
        <v>173</v>
      </c>
      <c r="B9" s="158"/>
      <c r="C9" s="158">
        <v>280900</v>
      </c>
      <c r="D9" s="239">
        <v>31965</v>
      </c>
      <c r="E9" s="239">
        <f t="shared" si="1"/>
        <v>248935</v>
      </c>
      <c r="F9" s="239">
        <v>0</v>
      </c>
      <c r="G9" s="158">
        <f t="shared" si="2"/>
        <v>280900</v>
      </c>
      <c r="H9" s="158">
        <f t="shared" si="0"/>
        <v>298456.25</v>
      </c>
      <c r="I9" s="386">
        <f t="shared" si="3"/>
        <v>317109.765625</v>
      </c>
    </row>
    <row r="10" spans="1:9" s="272" customFormat="1" x14ac:dyDescent="0.25">
      <c r="A10" s="253" t="s">
        <v>30</v>
      </c>
      <c r="B10" s="158">
        <v>300000</v>
      </c>
      <c r="C10" s="158">
        <v>300000</v>
      </c>
      <c r="D10" s="239">
        <v>255590.37</v>
      </c>
      <c r="E10" s="239">
        <f t="shared" si="1"/>
        <v>44409.630000000005</v>
      </c>
      <c r="F10" s="239">
        <v>150000</v>
      </c>
      <c r="G10" s="158">
        <f t="shared" si="2"/>
        <v>450000</v>
      </c>
      <c r="H10" s="158">
        <f t="shared" si="0"/>
        <v>318750</v>
      </c>
      <c r="I10" s="386">
        <f t="shared" si="3"/>
        <v>338671.875</v>
      </c>
    </row>
    <row r="11" spans="1:9" s="272" customFormat="1" x14ac:dyDescent="0.25">
      <c r="A11" s="424" t="s">
        <v>40</v>
      </c>
      <c r="B11" s="246">
        <f>SUM(B4:B10)</f>
        <v>5317364</v>
      </c>
      <c r="C11" s="351">
        <f>SUM(C4:C10)</f>
        <v>5598264</v>
      </c>
      <c r="D11" s="351">
        <f>SUM(D4:D10)</f>
        <v>5353445.37</v>
      </c>
      <c r="E11" s="351">
        <f>SUM(E4:E10)</f>
        <v>244818.63</v>
      </c>
      <c r="F11" s="351">
        <f t="shared" ref="F11:G11" si="4">SUM(F4:F10)</f>
        <v>2790000</v>
      </c>
      <c r="G11" s="351">
        <f t="shared" si="4"/>
        <v>8388264</v>
      </c>
      <c r="H11" s="351">
        <f>SUM(H4:H10)</f>
        <v>5948155.5</v>
      </c>
      <c r="I11" s="387">
        <f>SUM(I4:I10)</f>
        <v>6319915.21875</v>
      </c>
    </row>
    <row r="12" spans="1:9" s="272" customFormat="1" x14ac:dyDescent="0.25">
      <c r="A12" s="253"/>
      <c r="B12" s="158"/>
      <c r="C12" s="239"/>
      <c r="D12" s="239"/>
      <c r="E12" s="239"/>
      <c r="F12" s="239"/>
      <c r="G12" s="239"/>
      <c r="H12" s="158"/>
      <c r="I12" s="386">
        <f>H12*6.9%+H12</f>
        <v>0</v>
      </c>
    </row>
    <row r="13" spans="1:9" s="272" customFormat="1" x14ac:dyDescent="0.25">
      <c r="A13" s="253" t="s">
        <v>6</v>
      </c>
      <c r="B13" s="158">
        <v>510972</v>
      </c>
      <c r="C13" s="158">
        <v>510972</v>
      </c>
      <c r="D13" s="239">
        <v>235996</v>
      </c>
      <c r="E13" s="239">
        <f t="shared" ref="E13:E15" si="5">C13-D13</f>
        <v>274976</v>
      </c>
      <c r="F13" s="239">
        <v>0</v>
      </c>
      <c r="G13" s="158">
        <f>C13+F13</f>
        <v>510972</v>
      </c>
      <c r="H13" s="158">
        <f>C13*6.25%+C13</f>
        <v>542907.75</v>
      </c>
      <c r="I13" s="386">
        <f t="shared" ref="I13:I15" si="6">H13*6.25%+H13</f>
        <v>576839.484375</v>
      </c>
    </row>
    <row r="14" spans="1:9" s="272" customFormat="1" x14ac:dyDescent="0.25">
      <c r="A14" s="253" t="s">
        <v>7</v>
      </c>
      <c r="B14" s="158">
        <v>32638</v>
      </c>
      <c r="C14" s="158">
        <v>32638</v>
      </c>
      <c r="D14" s="239">
        <v>15913</v>
      </c>
      <c r="E14" s="239">
        <f t="shared" si="5"/>
        <v>16725</v>
      </c>
      <c r="F14" s="239">
        <v>0</v>
      </c>
      <c r="G14" s="158">
        <f t="shared" ref="G14:G16" si="7">C14+F14</f>
        <v>32638</v>
      </c>
      <c r="H14" s="158">
        <f>C14*6.25%+C14</f>
        <v>34677.875</v>
      </c>
      <c r="I14" s="386">
        <f t="shared" si="6"/>
        <v>36845.2421875</v>
      </c>
    </row>
    <row r="15" spans="1:9" s="272" customFormat="1" x14ac:dyDescent="0.25">
      <c r="A15" s="253" t="s">
        <v>53</v>
      </c>
      <c r="B15" s="158">
        <v>718032</v>
      </c>
      <c r="C15" s="158">
        <v>718032</v>
      </c>
      <c r="D15" s="239">
        <v>366581</v>
      </c>
      <c r="E15" s="239">
        <f t="shared" si="5"/>
        <v>351451</v>
      </c>
      <c r="F15" s="239">
        <v>0</v>
      </c>
      <c r="G15" s="158">
        <f t="shared" si="7"/>
        <v>718032</v>
      </c>
      <c r="H15" s="158">
        <f>C15*6.25%+C15</f>
        <v>762909</v>
      </c>
      <c r="I15" s="386">
        <f t="shared" si="6"/>
        <v>810590.8125</v>
      </c>
    </row>
    <row r="16" spans="1:9" s="754" customFormat="1" x14ac:dyDescent="0.25">
      <c r="A16" s="785" t="s">
        <v>872</v>
      </c>
      <c r="B16" s="158"/>
      <c r="C16" s="239"/>
      <c r="D16" s="239"/>
      <c r="E16" s="239"/>
      <c r="F16" s="239">
        <v>540</v>
      </c>
      <c r="G16" s="158">
        <f t="shared" si="7"/>
        <v>540</v>
      </c>
      <c r="H16" s="239"/>
      <c r="I16" s="239"/>
    </row>
    <row r="17" spans="1:9" s="272" customFormat="1" x14ac:dyDescent="0.25">
      <c r="A17" s="424" t="s">
        <v>41</v>
      </c>
      <c r="B17" s="246">
        <f>SUM(B13:B15)</f>
        <v>1261642</v>
      </c>
      <c r="C17" s="351">
        <f>SUM(C13:C16)</f>
        <v>1261642</v>
      </c>
      <c r="D17" s="351">
        <f t="shared" ref="D17:G17" si="8">SUM(D13:D16)</f>
        <v>618490</v>
      </c>
      <c r="E17" s="351">
        <f t="shared" si="8"/>
        <v>643152</v>
      </c>
      <c r="F17" s="351">
        <f t="shared" si="8"/>
        <v>540</v>
      </c>
      <c r="G17" s="351">
        <f t="shared" si="8"/>
        <v>1262182</v>
      </c>
      <c r="H17" s="351">
        <f>SUM(H13:H15)</f>
        <v>1340494.625</v>
      </c>
      <c r="I17" s="351">
        <f>SUM(I13:I15)</f>
        <v>1424275.5390625</v>
      </c>
    </row>
    <row r="18" spans="1:9" s="272" customFormat="1" x14ac:dyDescent="0.25">
      <c r="A18" s="253"/>
      <c r="B18" s="158"/>
      <c r="C18" s="239"/>
      <c r="D18" s="239"/>
      <c r="E18" s="239"/>
      <c r="F18" s="239"/>
      <c r="G18" s="239"/>
      <c r="H18" s="158"/>
      <c r="I18" s="386">
        <f>H18*6.9%+H18</f>
        <v>0</v>
      </c>
    </row>
    <row r="19" spans="1:9" s="272" customFormat="1" x14ac:dyDescent="0.25">
      <c r="A19" s="253" t="s">
        <v>31</v>
      </c>
      <c r="B19" s="158">
        <v>15000</v>
      </c>
      <c r="C19" s="158">
        <v>15000</v>
      </c>
      <c r="D19" s="239">
        <v>12500</v>
      </c>
      <c r="E19" s="239">
        <f t="shared" ref="E19:E20" si="9">C19-D19</f>
        <v>2500</v>
      </c>
      <c r="F19" s="239">
        <v>0</v>
      </c>
      <c r="G19" s="158">
        <f t="shared" ref="G19:G20" si="10">C19+F19</f>
        <v>15000</v>
      </c>
      <c r="H19" s="158">
        <f>C19*6.25%+C19</f>
        <v>15937.5</v>
      </c>
      <c r="I19" s="386">
        <f>H19*6.25%+H19</f>
        <v>16933.59375</v>
      </c>
    </row>
    <row r="20" spans="1:9" s="272" customFormat="1" x14ac:dyDescent="0.25">
      <c r="A20" s="253" t="s">
        <v>20</v>
      </c>
      <c r="B20" s="158">
        <v>190000</v>
      </c>
      <c r="C20" s="158">
        <v>190000</v>
      </c>
      <c r="D20" s="239">
        <v>90746</v>
      </c>
      <c r="E20" s="239">
        <f t="shared" si="9"/>
        <v>99254</v>
      </c>
      <c r="F20" s="239">
        <v>0</v>
      </c>
      <c r="G20" s="158">
        <f t="shared" si="10"/>
        <v>190000</v>
      </c>
      <c r="H20" s="158">
        <f>C20*6.25%+C20</f>
        <v>201875</v>
      </c>
      <c r="I20" s="386">
        <f>H20*6.25%+H20</f>
        <v>214492.1875</v>
      </c>
    </row>
    <row r="21" spans="1:9" s="272" customFormat="1" x14ac:dyDescent="0.25">
      <c r="A21" s="424" t="s">
        <v>43</v>
      </c>
      <c r="B21" s="246">
        <f>SUM(B19:B20)</f>
        <v>205000</v>
      </c>
      <c r="C21" s="351">
        <f>SUM(C19:C20)</f>
        <v>205000</v>
      </c>
      <c r="D21" s="351">
        <f>SUM(D19:D20)</f>
        <v>103246</v>
      </c>
      <c r="E21" s="351">
        <f>SUM(E19:E20)</f>
        <v>101754</v>
      </c>
      <c r="F21" s="351">
        <f t="shared" ref="F21:G21" si="11">SUM(F19:F20)</f>
        <v>0</v>
      </c>
      <c r="G21" s="351">
        <f t="shared" si="11"/>
        <v>205000</v>
      </c>
      <c r="H21" s="351">
        <f>SUM(H19:H20)</f>
        <v>217812.5</v>
      </c>
      <c r="I21" s="387">
        <f>SUM(I19:I20)</f>
        <v>231425.78125</v>
      </c>
    </row>
    <row r="22" spans="1:9" s="272" customFormat="1" x14ac:dyDescent="0.25">
      <c r="A22" s="253"/>
      <c r="B22" s="246"/>
      <c r="C22" s="351"/>
      <c r="D22" s="351"/>
      <c r="E22" s="351"/>
      <c r="F22" s="351"/>
      <c r="G22" s="351"/>
      <c r="H22" s="351"/>
      <c r="I22" s="387"/>
    </row>
    <row r="23" spans="1:9" s="272" customFormat="1" ht="16.5" customHeight="1" x14ac:dyDescent="0.25">
      <c r="A23" s="253" t="s">
        <v>9</v>
      </c>
      <c r="B23" s="246"/>
      <c r="C23" s="158">
        <v>32638</v>
      </c>
      <c r="D23" s="239">
        <v>46512</v>
      </c>
      <c r="E23" s="239">
        <f t="shared" ref="E23:E30" si="12">C23-D23</f>
        <v>-13874</v>
      </c>
      <c r="F23" s="239">
        <v>30000</v>
      </c>
      <c r="G23" s="158">
        <f t="shared" ref="G23:G30" si="13">C23+F23</f>
        <v>62638</v>
      </c>
      <c r="H23" s="158">
        <f>C23*6.25%+C23</f>
        <v>34677.875</v>
      </c>
      <c r="I23" s="386">
        <f>H23*6.25%+H23</f>
        <v>36845.2421875</v>
      </c>
    </row>
    <row r="24" spans="1:9" s="252" customFormat="1" x14ac:dyDescent="0.25">
      <c r="A24" s="271" t="s">
        <v>361</v>
      </c>
      <c r="B24" s="158">
        <v>6000</v>
      </c>
      <c r="C24" s="158">
        <v>6000</v>
      </c>
      <c r="D24" s="239"/>
      <c r="E24" s="239">
        <f t="shared" si="12"/>
        <v>6000</v>
      </c>
      <c r="F24" s="239">
        <v>0</v>
      </c>
      <c r="G24" s="158">
        <f t="shared" si="13"/>
        <v>6000</v>
      </c>
      <c r="H24" s="158">
        <f>C24*6.25%+C24</f>
        <v>6375</v>
      </c>
      <c r="I24" s="386">
        <v>6665</v>
      </c>
    </row>
    <row r="25" spans="1:9" s="252" customFormat="1" x14ac:dyDescent="0.25">
      <c r="A25" s="271" t="s">
        <v>24</v>
      </c>
      <c r="B25" s="158">
        <v>130000</v>
      </c>
      <c r="C25" s="158">
        <v>130000</v>
      </c>
      <c r="D25" s="239"/>
      <c r="E25" s="239">
        <f t="shared" si="12"/>
        <v>130000</v>
      </c>
      <c r="F25" s="879">
        <v>-60000</v>
      </c>
      <c r="G25" s="158">
        <f t="shared" si="13"/>
        <v>70000</v>
      </c>
      <c r="H25" s="158">
        <f t="shared" ref="H25:H30" si="14">C25*6.25%+C25</f>
        <v>138125</v>
      </c>
      <c r="I25" s="386">
        <v>144419</v>
      </c>
    </row>
    <row r="26" spans="1:9" s="272" customFormat="1" x14ac:dyDescent="0.25">
      <c r="A26" s="253" t="s">
        <v>63</v>
      </c>
      <c r="B26" s="158">
        <v>17000</v>
      </c>
      <c r="C26" s="158">
        <v>17000</v>
      </c>
      <c r="D26" s="239"/>
      <c r="E26" s="239">
        <f t="shared" si="12"/>
        <v>17000</v>
      </c>
      <c r="F26" s="239">
        <v>0</v>
      </c>
      <c r="G26" s="158">
        <f t="shared" si="13"/>
        <v>17000</v>
      </c>
      <c r="H26" s="158">
        <f t="shared" si="14"/>
        <v>18062.5</v>
      </c>
      <c r="I26" s="386">
        <v>18886</v>
      </c>
    </row>
    <row r="27" spans="1:9" s="272" customFormat="1" x14ac:dyDescent="0.25">
      <c r="A27" s="253" t="s">
        <v>59</v>
      </c>
      <c r="B27" s="158">
        <v>45000</v>
      </c>
      <c r="C27" s="158">
        <v>45000</v>
      </c>
      <c r="D27" s="239"/>
      <c r="E27" s="239">
        <f t="shared" si="12"/>
        <v>45000</v>
      </c>
      <c r="F27" s="239">
        <v>-10000</v>
      </c>
      <c r="G27" s="158">
        <f t="shared" si="13"/>
        <v>35000</v>
      </c>
      <c r="H27" s="158">
        <f t="shared" si="14"/>
        <v>47812.5</v>
      </c>
      <c r="I27" s="386">
        <v>49991</v>
      </c>
    </row>
    <row r="28" spans="1:9" s="272" customFormat="1" x14ac:dyDescent="0.25">
      <c r="A28" s="253" t="s">
        <v>51</v>
      </c>
      <c r="B28" s="158">
        <f>7000/2</f>
        <v>3500</v>
      </c>
      <c r="C28" s="158">
        <v>3500</v>
      </c>
      <c r="D28" s="239">
        <v>38052</v>
      </c>
      <c r="E28" s="239">
        <f t="shared" si="12"/>
        <v>-34552</v>
      </c>
      <c r="F28" s="724">
        <v>50000</v>
      </c>
      <c r="G28" s="158">
        <f t="shared" si="13"/>
        <v>53500</v>
      </c>
      <c r="H28" s="158">
        <f t="shared" si="14"/>
        <v>3718.75</v>
      </c>
      <c r="I28" s="386">
        <v>3888</v>
      </c>
    </row>
    <row r="29" spans="1:9" s="272" customFormat="1" x14ac:dyDescent="0.25">
      <c r="A29" s="253" t="s">
        <v>10</v>
      </c>
      <c r="B29" s="158">
        <v>75000</v>
      </c>
      <c r="C29" s="158">
        <v>75000</v>
      </c>
      <c r="D29" s="239">
        <v>6854</v>
      </c>
      <c r="E29" s="239">
        <f t="shared" si="12"/>
        <v>68146</v>
      </c>
      <c r="F29" s="879">
        <v>-30000</v>
      </c>
      <c r="G29" s="158">
        <f t="shared" si="13"/>
        <v>45000</v>
      </c>
      <c r="H29" s="158">
        <f t="shared" si="14"/>
        <v>79687.5</v>
      </c>
      <c r="I29" s="386">
        <v>83319</v>
      </c>
    </row>
    <row r="30" spans="1:9" s="272" customFormat="1" x14ac:dyDescent="0.25">
      <c r="A30" s="158" t="s">
        <v>413</v>
      </c>
      <c r="B30" s="158">
        <v>20000</v>
      </c>
      <c r="C30" s="158">
        <v>20000</v>
      </c>
      <c r="D30" s="239"/>
      <c r="E30" s="239">
        <f t="shared" si="12"/>
        <v>20000</v>
      </c>
      <c r="F30" s="239">
        <v>-5000</v>
      </c>
      <c r="G30" s="158">
        <f t="shared" si="13"/>
        <v>15000</v>
      </c>
      <c r="H30" s="158">
        <f t="shared" si="14"/>
        <v>21250</v>
      </c>
      <c r="I30" s="386">
        <v>22218</v>
      </c>
    </row>
    <row r="31" spans="1:9" s="272" customFormat="1" x14ac:dyDescent="0.25">
      <c r="A31" s="424" t="s">
        <v>42</v>
      </c>
      <c r="B31" s="246">
        <f>SUM(B24:B30)</f>
        <v>296500</v>
      </c>
      <c r="C31" s="351">
        <f>SUM(C23:C30)</f>
        <v>329138</v>
      </c>
      <c r="D31" s="351">
        <f>SUM(D23:D30)</f>
        <v>91418</v>
      </c>
      <c r="E31" s="351">
        <f>SUM(E23:E30)</f>
        <v>237720</v>
      </c>
      <c r="F31" s="351">
        <f t="shared" ref="F31:G31" si="15">SUM(F23:F30)</f>
        <v>-25000</v>
      </c>
      <c r="G31" s="351">
        <f t="shared" si="15"/>
        <v>304138</v>
      </c>
      <c r="H31" s="351">
        <f>SUM(H23:H30)</f>
        <v>349709.125</v>
      </c>
      <c r="I31" s="351">
        <f>SUM(I23:I30)</f>
        <v>366231.2421875</v>
      </c>
    </row>
    <row r="32" spans="1:9" s="272" customFormat="1" x14ac:dyDescent="0.25">
      <c r="A32" s="425"/>
      <c r="B32" s="158"/>
      <c r="C32" s="239"/>
      <c r="D32" s="239"/>
      <c r="E32" s="239"/>
      <c r="F32" s="239"/>
      <c r="G32" s="239"/>
      <c r="H32" s="158"/>
      <c r="I32" s="386"/>
    </row>
    <row r="33" spans="1:9" s="272" customFormat="1" ht="15.75" thickBot="1" x14ac:dyDescent="0.3">
      <c r="A33" s="426" t="s">
        <v>44</v>
      </c>
      <c r="B33" s="392">
        <f>B11+B17+B21+B31</f>
        <v>7080506</v>
      </c>
      <c r="C33" s="422">
        <f>C11+C17+C21+C31</f>
        <v>7394044</v>
      </c>
      <c r="D33" s="422">
        <f>D11+D17+D21+D31</f>
        <v>6166599.3700000001</v>
      </c>
      <c r="E33" s="422">
        <f>E11+E17+E21+E31</f>
        <v>1227444.6299999999</v>
      </c>
      <c r="F33" s="422">
        <f t="shared" ref="F33:G33" si="16">F11+F17+F21+F31</f>
        <v>2765540</v>
      </c>
      <c r="G33" s="422">
        <f t="shared" si="16"/>
        <v>10159584</v>
      </c>
      <c r="H33" s="422">
        <f>H11+H17+H21+H31</f>
        <v>7856171.75</v>
      </c>
      <c r="I33" s="393">
        <f>I11+I17+I21+I31</f>
        <v>8341847.78125</v>
      </c>
    </row>
    <row r="34" spans="1:9" x14ac:dyDescent="0.25">
      <c r="A34" s="532"/>
      <c r="B34" s="366"/>
      <c r="C34" s="366"/>
      <c r="D34" s="366"/>
      <c r="E34" s="366"/>
      <c r="F34" s="366"/>
      <c r="G34" s="366"/>
      <c r="H34" s="366"/>
    </row>
    <row r="35" spans="1:9" x14ac:dyDescent="0.25">
      <c r="A35" s="532"/>
      <c r="B35" s="366"/>
      <c r="C35" s="366"/>
      <c r="D35" s="366"/>
      <c r="E35" s="366"/>
      <c r="F35" s="366"/>
      <c r="G35" s="366"/>
      <c r="H35" s="366"/>
    </row>
  </sheetData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&amp;A&amp;RPage &amp;P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70"/>
  <sheetViews>
    <sheetView view="pageBreakPreview" topLeftCell="A44" zoomScale="60" zoomScaleNormal="100" workbookViewId="0">
      <selection activeCell="F73" sqref="F73"/>
    </sheetView>
  </sheetViews>
  <sheetFormatPr defaultColWidth="9.28515625" defaultRowHeight="15" x14ac:dyDescent="0.25"/>
  <cols>
    <col min="1" max="1" width="45" style="352" customWidth="1"/>
    <col min="2" max="2" width="5.140625" style="247" hidden="1" customWidth="1"/>
    <col min="3" max="7" width="17.28515625" style="247" customWidth="1"/>
    <col min="8" max="8" width="17.7109375" style="247" customWidth="1"/>
    <col min="9" max="9" width="16.42578125" style="352" customWidth="1"/>
    <col min="10" max="16384" width="9.28515625" style="352"/>
  </cols>
  <sheetData>
    <row r="1" spans="1:9" s="272" customFormat="1" ht="18.75" x14ac:dyDescent="0.3">
      <c r="A1" s="515" t="s">
        <v>484</v>
      </c>
      <c r="B1" s="242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36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09" t="s">
        <v>556</v>
      </c>
      <c r="I3" s="385" t="s">
        <v>644</v>
      </c>
    </row>
    <row r="4" spans="1:9" s="272" customFormat="1" x14ac:dyDescent="0.25">
      <c r="A4" s="253" t="s">
        <v>2</v>
      </c>
      <c r="B4" s="158">
        <v>7144645</v>
      </c>
      <c r="C4" s="158">
        <v>7144645</v>
      </c>
      <c r="D4" s="239">
        <v>4381533</v>
      </c>
      <c r="E4" s="239">
        <f>C4-D4</f>
        <v>2763112</v>
      </c>
      <c r="F4" s="239">
        <v>800000</v>
      </c>
      <c r="G4" s="239">
        <f>C4+F4</f>
        <v>7944645</v>
      </c>
      <c r="H4" s="239">
        <f t="shared" ref="H4:H10" si="0">C4*6.25%+C4</f>
        <v>7591185.3125</v>
      </c>
      <c r="I4" s="386">
        <f t="shared" ref="I4:I10" si="1">H4*6.25%+H4</f>
        <v>8065634.39453125</v>
      </c>
    </row>
    <row r="5" spans="1:9" s="272" customFormat="1" x14ac:dyDescent="0.25">
      <c r="A5" s="253" t="s">
        <v>3</v>
      </c>
      <c r="B5" s="158">
        <v>595387</v>
      </c>
      <c r="C5" s="158">
        <v>595387</v>
      </c>
      <c r="D5" s="239">
        <v>309407</v>
      </c>
      <c r="E5" s="239">
        <f t="shared" ref="E5:E10" si="2">C5-D5</f>
        <v>285980</v>
      </c>
      <c r="F5" s="239">
        <v>0</v>
      </c>
      <c r="G5" s="239">
        <f t="shared" ref="G5:G10" si="3">C5+F5</f>
        <v>595387</v>
      </c>
      <c r="H5" s="239">
        <f t="shared" si="0"/>
        <v>632598.6875</v>
      </c>
      <c r="I5" s="386">
        <f t="shared" si="1"/>
        <v>672136.10546875</v>
      </c>
    </row>
    <row r="6" spans="1:9" s="272" customFormat="1" x14ac:dyDescent="0.25">
      <c r="A6" s="253" t="s">
        <v>17</v>
      </c>
      <c r="B6" s="158">
        <v>916000</v>
      </c>
      <c r="C6" s="158">
        <v>916000</v>
      </c>
      <c r="D6" s="239">
        <v>1575454</v>
      </c>
      <c r="E6" s="239">
        <f t="shared" si="2"/>
        <v>-659454</v>
      </c>
      <c r="F6" s="239">
        <v>700000</v>
      </c>
      <c r="G6" s="239">
        <f t="shared" si="3"/>
        <v>1616000</v>
      </c>
      <c r="H6" s="239">
        <f t="shared" si="0"/>
        <v>973250</v>
      </c>
      <c r="I6" s="386">
        <f t="shared" si="1"/>
        <v>1034078.125</v>
      </c>
    </row>
    <row r="7" spans="1:9" s="272" customFormat="1" x14ac:dyDescent="0.25">
      <c r="A7" s="253" t="s">
        <v>4</v>
      </c>
      <c r="B7" s="158">
        <v>163200</v>
      </c>
      <c r="C7" s="158">
        <v>163200</v>
      </c>
      <c r="D7" s="239">
        <v>41610</v>
      </c>
      <c r="E7" s="239">
        <f t="shared" si="2"/>
        <v>121590</v>
      </c>
      <c r="F7" s="239">
        <v>-100000</v>
      </c>
      <c r="G7" s="239">
        <f t="shared" si="3"/>
        <v>63200</v>
      </c>
      <c r="H7" s="239">
        <f t="shared" si="0"/>
        <v>173400</v>
      </c>
      <c r="I7" s="386">
        <f t="shared" si="1"/>
        <v>184237.5</v>
      </c>
    </row>
    <row r="8" spans="1:9" s="272" customFormat="1" x14ac:dyDescent="0.25">
      <c r="A8" s="253" t="s">
        <v>5</v>
      </c>
      <c r="B8" s="158">
        <v>1624827</v>
      </c>
      <c r="C8" s="158">
        <v>1624827</v>
      </c>
      <c r="D8" s="239">
        <v>868542</v>
      </c>
      <c r="E8" s="239">
        <f t="shared" si="2"/>
        <v>756285</v>
      </c>
      <c r="F8" s="239">
        <v>100000</v>
      </c>
      <c r="G8" s="239">
        <f t="shared" si="3"/>
        <v>1724827</v>
      </c>
      <c r="H8" s="239">
        <f t="shared" si="0"/>
        <v>1726378.6875</v>
      </c>
      <c r="I8" s="386">
        <f t="shared" si="1"/>
        <v>1834277.35546875</v>
      </c>
    </row>
    <row r="9" spans="1:9" s="272" customFormat="1" x14ac:dyDescent="0.25">
      <c r="A9" s="253" t="s">
        <v>173</v>
      </c>
      <c r="B9" s="158"/>
      <c r="C9" s="158">
        <v>536526</v>
      </c>
      <c r="D9" s="239">
        <v>137172</v>
      </c>
      <c r="E9" s="239">
        <f t="shared" si="2"/>
        <v>399354</v>
      </c>
      <c r="F9" s="239">
        <v>0</v>
      </c>
      <c r="G9" s="239">
        <f t="shared" si="3"/>
        <v>536526</v>
      </c>
      <c r="H9" s="239">
        <f t="shared" si="0"/>
        <v>570058.875</v>
      </c>
      <c r="I9" s="386">
        <f t="shared" si="1"/>
        <v>605687.5546875</v>
      </c>
    </row>
    <row r="10" spans="1:9" s="272" customFormat="1" x14ac:dyDescent="0.25">
      <c r="A10" s="253" t="s">
        <v>257</v>
      </c>
      <c r="B10" s="158">
        <v>375648</v>
      </c>
      <c r="C10" s="158">
        <v>375648</v>
      </c>
      <c r="D10" s="239">
        <v>39636</v>
      </c>
      <c r="E10" s="239">
        <f t="shared" si="2"/>
        <v>336012</v>
      </c>
      <c r="F10" s="239">
        <v>-120000</v>
      </c>
      <c r="G10" s="239">
        <f t="shared" si="3"/>
        <v>255648</v>
      </c>
      <c r="H10" s="239">
        <f t="shared" si="0"/>
        <v>399126</v>
      </c>
      <c r="I10" s="386">
        <f t="shared" si="1"/>
        <v>424071.375</v>
      </c>
    </row>
    <row r="11" spans="1:9" s="272" customFormat="1" x14ac:dyDescent="0.25">
      <c r="A11" s="424" t="s">
        <v>40</v>
      </c>
      <c r="B11" s="246">
        <f>SUM(B4:B10)</f>
        <v>10819707</v>
      </c>
      <c r="C11" s="246">
        <f>SUM(C4:C10)</f>
        <v>11356233</v>
      </c>
      <c r="D11" s="246">
        <f>SUM(D4:D10)</f>
        <v>7353354</v>
      </c>
      <c r="E11" s="246">
        <f>SUM(E4:E10)</f>
        <v>4002879</v>
      </c>
      <c r="F11" s="246">
        <f t="shared" ref="F11:G11" si="4">SUM(F4:F10)</f>
        <v>1380000</v>
      </c>
      <c r="G11" s="246">
        <f t="shared" si="4"/>
        <v>12736233</v>
      </c>
      <c r="H11" s="246">
        <f>SUM(H4:H10)</f>
        <v>12065997.5625</v>
      </c>
      <c r="I11" s="387">
        <f>SUM(I4:I10)</f>
        <v>12820122.41015625</v>
      </c>
    </row>
    <row r="12" spans="1:9" s="272" customFormat="1" x14ac:dyDescent="0.25">
      <c r="A12" s="253"/>
      <c r="B12" s="158"/>
      <c r="C12" s="158"/>
      <c r="D12" s="239"/>
      <c r="E12" s="239"/>
      <c r="F12" s="239"/>
      <c r="G12" s="239"/>
      <c r="H12" s="239"/>
      <c r="I12" s="386">
        <f>H12*6.9%+H12</f>
        <v>0</v>
      </c>
    </row>
    <row r="13" spans="1:9" s="272" customFormat="1" x14ac:dyDescent="0.25">
      <c r="A13" s="253" t="s">
        <v>6</v>
      </c>
      <c r="B13" s="158">
        <v>836136</v>
      </c>
      <c r="C13" s="158">
        <v>836136</v>
      </c>
      <c r="D13" s="239">
        <v>371384</v>
      </c>
      <c r="E13" s="239">
        <f t="shared" ref="E13:E18" si="5">C13-D13</f>
        <v>464752</v>
      </c>
      <c r="F13" s="239">
        <v>0</v>
      </c>
      <c r="G13" s="239">
        <f t="shared" ref="G13:G18" si="6">C13+F13</f>
        <v>836136</v>
      </c>
      <c r="H13" s="239">
        <f>C13*6.25%+C13</f>
        <v>888394.5</v>
      </c>
      <c r="I13" s="386">
        <f t="shared" ref="I13:I15" si="7">H13*6.25%+H13</f>
        <v>943919.15625</v>
      </c>
    </row>
    <row r="14" spans="1:9" s="272" customFormat="1" x14ac:dyDescent="0.25">
      <c r="A14" s="253" t="s">
        <v>7</v>
      </c>
      <c r="B14" s="158">
        <v>71446</v>
      </c>
      <c r="C14" s="158">
        <v>71446</v>
      </c>
      <c r="D14" s="239">
        <v>16954</v>
      </c>
      <c r="E14" s="239">
        <f t="shared" si="5"/>
        <v>54492</v>
      </c>
      <c r="F14" s="239">
        <v>0</v>
      </c>
      <c r="G14" s="239">
        <f t="shared" si="6"/>
        <v>71446</v>
      </c>
      <c r="H14" s="239">
        <f>C14*6.25%+C14</f>
        <v>75911.375</v>
      </c>
      <c r="I14" s="386">
        <f t="shared" si="7"/>
        <v>80655.8359375</v>
      </c>
    </row>
    <row r="15" spans="1:9" s="272" customFormat="1" x14ac:dyDescent="0.25">
      <c r="A15" s="253" t="s">
        <v>53</v>
      </c>
      <c r="B15" s="158">
        <v>1571822</v>
      </c>
      <c r="C15" s="158">
        <v>1571822</v>
      </c>
      <c r="D15" s="239">
        <v>856169</v>
      </c>
      <c r="E15" s="239">
        <f t="shared" si="5"/>
        <v>715653</v>
      </c>
      <c r="F15" s="239">
        <v>0</v>
      </c>
      <c r="G15" s="239">
        <f t="shared" si="6"/>
        <v>1571822</v>
      </c>
      <c r="H15" s="239">
        <f>C15*6.25%+C15</f>
        <v>1670060.875</v>
      </c>
      <c r="I15" s="386">
        <f t="shared" si="7"/>
        <v>1774439.6796875</v>
      </c>
    </row>
    <row r="16" spans="1:9" s="93" customFormat="1" x14ac:dyDescent="0.25">
      <c r="A16" s="96" t="s">
        <v>398</v>
      </c>
      <c r="B16" s="91"/>
      <c r="C16" s="91">
        <v>48000</v>
      </c>
      <c r="D16" s="176">
        <v>0</v>
      </c>
      <c r="E16" s="239">
        <f t="shared" si="5"/>
        <v>48000</v>
      </c>
      <c r="F16" s="239">
        <v>-48000</v>
      </c>
      <c r="G16" s="239">
        <f t="shared" si="6"/>
        <v>0</v>
      </c>
      <c r="H16" s="176">
        <v>51312</v>
      </c>
      <c r="I16" s="404">
        <v>54852.527999999998</v>
      </c>
    </row>
    <row r="17" spans="1:9" s="93" customFormat="1" x14ac:dyDescent="0.25">
      <c r="A17" s="718" t="s">
        <v>175</v>
      </c>
      <c r="B17" s="91"/>
      <c r="C17" s="91">
        <v>0</v>
      </c>
      <c r="D17" s="176">
        <v>0</v>
      </c>
      <c r="E17" s="239">
        <f t="shared" si="5"/>
        <v>0</v>
      </c>
      <c r="F17" s="239">
        <v>12000</v>
      </c>
      <c r="G17" s="239">
        <f t="shared" si="6"/>
        <v>12000</v>
      </c>
      <c r="H17" s="176">
        <v>0</v>
      </c>
      <c r="I17" s="176">
        <v>0</v>
      </c>
    </row>
    <row r="18" spans="1:9" s="746" customFormat="1" x14ac:dyDescent="0.25">
      <c r="A18" s="785" t="s">
        <v>872</v>
      </c>
      <c r="B18" s="91"/>
      <c r="C18" s="91">
        <v>0</v>
      </c>
      <c r="D18" s="176">
        <v>0</v>
      </c>
      <c r="E18" s="239">
        <f t="shared" si="5"/>
        <v>0</v>
      </c>
      <c r="F18" s="239">
        <v>810</v>
      </c>
      <c r="G18" s="239">
        <f t="shared" si="6"/>
        <v>810</v>
      </c>
      <c r="H18" s="176">
        <v>0</v>
      </c>
      <c r="I18" s="176">
        <v>0</v>
      </c>
    </row>
    <row r="19" spans="1:9" s="272" customFormat="1" x14ac:dyDescent="0.25">
      <c r="A19" s="424" t="s">
        <v>41</v>
      </c>
      <c r="B19" s="246">
        <f ca="1">SUM(B13:B30)</f>
        <v>7405990</v>
      </c>
      <c r="C19" s="246">
        <f>SUM(C13:C18)</f>
        <v>2527404</v>
      </c>
      <c r="D19" s="246">
        <f t="shared" ref="D19:G19" si="8">SUM(D13:D18)</f>
        <v>1244507</v>
      </c>
      <c r="E19" s="246">
        <f t="shared" si="8"/>
        <v>1282897</v>
      </c>
      <c r="F19" s="246">
        <f t="shared" si="8"/>
        <v>-35190</v>
      </c>
      <c r="G19" s="246">
        <f t="shared" si="8"/>
        <v>2492214</v>
      </c>
      <c r="H19" s="246">
        <f>SUM(H13:H16)</f>
        <v>2685678.75</v>
      </c>
      <c r="I19" s="246">
        <f>SUM(I13:I16)</f>
        <v>2853867.1998749999</v>
      </c>
    </row>
    <row r="20" spans="1:9" s="272" customFormat="1" x14ac:dyDescent="0.25">
      <c r="A20" s="253"/>
      <c r="B20" s="158"/>
      <c r="C20" s="158"/>
      <c r="D20" s="158"/>
      <c r="E20" s="158"/>
      <c r="F20" s="158"/>
      <c r="G20" s="158"/>
      <c r="H20" s="158"/>
      <c r="I20" s="158"/>
    </row>
    <row r="21" spans="1:9" x14ac:dyDescent="0.25">
      <c r="A21" s="253" t="s">
        <v>211</v>
      </c>
      <c r="B21" s="160">
        <v>652145</v>
      </c>
      <c r="C21" s="158">
        <v>652145</v>
      </c>
      <c r="D21" s="239"/>
      <c r="E21" s="239">
        <f t="shared" ref="E21" si="9">C21-D21</f>
        <v>652145</v>
      </c>
      <c r="F21" s="239">
        <v>0</v>
      </c>
      <c r="G21" s="239">
        <f t="shared" ref="G21" si="10">C21+F21</f>
        <v>652145</v>
      </c>
      <c r="H21" s="239">
        <v>690622</v>
      </c>
      <c r="I21" s="386">
        <v>729296</v>
      </c>
    </row>
    <row r="22" spans="1:9" x14ac:dyDescent="0.25">
      <c r="A22" s="424" t="s">
        <v>211</v>
      </c>
      <c r="B22" s="246">
        <f>B21</f>
        <v>652145</v>
      </c>
      <c r="C22" s="246">
        <f>C21</f>
        <v>652145</v>
      </c>
      <c r="D22" s="246">
        <f>D21</f>
        <v>0</v>
      </c>
      <c r="E22" s="246">
        <f>E21</f>
        <v>652145</v>
      </c>
      <c r="F22" s="246">
        <f t="shared" ref="F22:G22" si="11">F21</f>
        <v>0</v>
      </c>
      <c r="G22" s="246">
        <f t="shared" si="11"/>
        <v>652145</v>
      </c>
      <c r="H22" s="351">
        <f>H21</f>
        <v>690622</v>
      </c>
      <c r="I22" s="387">
        <f>I21</f>
        <v>729296</v>
      </c>
    </row>
    <row r="23" spans="1:9" x14ac:dyDescent="0.25">
      <c r="A23" s="477"/>
      <c r="B23" s="551"/>
      <c r="C23" s="246"/>
      <c r="D23" s="351"/>
      <c r="E23" s="351"/>
      <c r="F23" s="351"/>
      <c r="G23" s="351"/>
      <c r="H23" s="351"/>
      <c r="I23" s="386">
        <f>H23*6.9%+H23</f>
        <v>0</v>
      </c>
    </row>
    <row r="24" spans="1:9" s="272" customFormat="1" x14ac:dyDescent="0.25">
      <c r="A24" s="253" t="s">
        <v>32</v>
      </c>
      <c r="B24" s="158">
        <v>450000</v>
      </c>
      <c r="C24" s="158">
        <v>450000</v>
      </c>
      <c r="D24" s="239">
        <f>539130+1757397</f>
        <v>2296527</v>
      </c>
      <c r="E24" s="239">
        <f t="shared" ref="E24:E26" si="12">C24-D24</f>
        <v>-1846527</v>
      </c>
      <c r="F24" s="239">
        <v>1900000</v>
      </c>
      <c r="G24" s="239">
        <f t="shared" ref="G24:G26" si="13">C24+F24</f>
        <v>2350000</v>
      </c>
      <c r="H24" s="239">
        <v>224300</v>
      </c>
      <c r="I24" s="386">
        <f>H24*6.25%+H24</f>
        <v>238318.75</v>
      </c>
    </row>
    <row r="25" spans="1:9" s="272" customFormat="1" x14ac:dyDescent="0.25">
      <c r="A25" s="253" t="s">
        <v>681</v>
      </c>
      <c r="B25" s="158"/>
      <c r="C25" s="158"/>
      <c r="D25" s="239"/>
      <c r="E25" s="239">
        <f t="shared" si="12"/>
        <v>0</v>
      </c>
      <c r="F25" s="239">
        <v>0</v>
      </c>
      <c r="G25" s="239">
        <f t="shared" si="13"/>
        <v>0</v>
      </c>
      <c r="H25" s="239">
        <v>250000</v>
      </c>
      <c r="I25" s="386">
        <v>270000</v>
      </c>
    </row>
    <row r="26" spans="1:9" s="272" customFormat="1" x14ac:dyDescent="0.25">
      <c r="A26" s="253" t="s">
        <v>20</v>
      </c>
      <c r="B26" s="158">
        <v>50000</v>
      </c>
      <c r="C26" s="158">
        <v>50000</v>
      </c>
      <c r="D26" s="239">
        <v>979</v>
      </c>
      <c r="E26" s="239">
        <f t="shared" si="12"/>
        <v>49021</v>
      </c>
      <c r="F26" s="239">
        <v>0</v>
      </c>
      <c r="G26" s="239">
        <f t="shared" si="13"/>
        <v>50000</v>
      </c>
      <c r="H26" s="239">
        <f>C26*6.25%+C26</f>
        <v>53125</v>
      </c>
      <c r="I26" s="386">
        <f>H26*6.25%+H26</f>
        <v>56445.3125</v>
      </c>
    </row>
    <row r="27" spans="1:9" s="272" customFormat="1" x14ac:dyDescent="0.25">
      <c r="A27" s="424" t="s">
        <v>43</v>
      </c>
      <c r="B27" s="246">
        <f>SUM(B24:B26)</f>
        <v>500000</v>
      </c>
      <c r="C27" s="246">
        <f>SUM(C24:C26)</f>
        <v>500000</v>
      </c>
      <c r="D27" s="246">
        <f>SUM(D24:D26)</f>
        <v>2297506</v>
      </c>
      <c r="E27" s="246">
        <f>SUM(E24:E26)</f>
        <v>-1797506</v>
      </c>
      <c r="F27" s="246">
        <f t="shared" ref="F27:G27" si="14">SUM(F24:F26)</f>
        <v>1900000</v>
      </c>
      <c r="G27" s="246">
        <f t="shared" si="14"/>
        <v>2400000</v>
      </c>
      <c r="H27" s="246">
        <f>SUM(H24:H26)</f>
        <v>527425</v>
      </c>
      <c r="I27" s="387">
        <f>SUM(I24:I26)</f>
        <v>564764.0625</v>
      </c>
    </row>
    <row r="28" spans="1:9" s="272" customFormat="1" x14ac:dyDescent="0.25">
      <c r="A28" s="477"/>
      <c r="B28" s="246"/>
      <c r="C28" s="246"/>
      <c r="D28" s="351"/>
      <c r="E28" s="351"/>
      <c r="F28" s="351"/>
      <c r="G28" s="351"/>
      <c r="H28" s="351"/>
      <c r="I28" s="387"/>
    </row>
    <row r="29" spans="1:9" s="272" customFormat="1" x14ac:dyDescent="0.25">
      <c r="A29" s="477"/>
      <c r="B29" s="246"/>
      <c r="C29" s="246"/>
      <c r="D29" s="351"/>
      <c r="E29" s="351"/>
      <c r="F29" s="351"/>
      <c r="G29" s="351"/>
      <c r="H29" s="351"/>
      <c r="I29" s="387"/>
    </row>
    <row r="30" spans="1:9" s="272" customFormat="1" x14ac:dyDescent="0.25">
      <c r="A30" s="253" t="s">
        <v>9</v>
      </c>
      <c r="B30" s="158">
        <v>71446</v>
      </c>
      <c r="C30" s="158">
        <v>71446</v>
      </c>
      <c r="D30" s="239">
        <v>41477</v>
      </c>
      <c r="E30" s="239">
        <f t="shared" ref="E30:E62" si="15">C30-D30</f>
        <v>29969</v>
      </c>
      <c r="F30" s="239">
        <v>0</v>
      </c>
      <c r="G30" s="239">
        <f t="shared" ref="G30:G62" si="16">C30+F30</f>
        <v>71446</v>
      </c>
      <c r="H30" s="239">
        <f>C30*6.25%+C30</f>
        <v>75911.375</v>
      </c>
      <c r="I30" s="386">
        <f>H30*6.25%+H30</f>
        <v>80655.8359375</v>
      </c>
    </row>
    <row r="31" spans="1:9" s="272" customFormat="1" x14ac:dyDescent="0.25">
      <c r="A31" s="271" t="s">
        <v>24</v>
      </c>
      <c r="B31" s="246"/>
      <c r="C31" s="158">
        <v>200000</v>
      </c>
      <c r="D31" s="239">
        <v>23218.85</v>
      </c>
      <c r="E31" s="239">
        <f t="shared" si="15"/>
        <v>176781.15</v>
      </c>
      <c r="F31" s="239">
        <v>0</v>
      </c>
      <c r="G31" s="239">
        <f t="shared" si="16"/>
        <v>200000</v>
      </c>
      <c r="H31" s="239">
        <v>210800</v>
      </c>
      <c r="I31" s="386">
        <v>222183</v>
      </c>
    </row>
    <row r="32" spans="1:9" s="272" customFormat="1" x14ac:dyDescent="0.25">
      <c r="A32" s="271" t="s">
        <v>682</v>
      </c>
      <c r="B32" s="158"/>
      <c r="C32" s="158">
        <v>10000</v>
      </c>
      <c r="D32" s="239">
        <v>8000</v>
      </c>
      <c r="E32" s="239">
        <f t="shared" si="15"/>
        <v>2000</v>
      </c>
      <c r="F32" s="239">
        <v>0</v>
      </c>
      <c r="G32" s="239">
        <f t="shared" si="16"/>
        <v>10000</v>
      </c>
      <c r="H32" s="239">
        <v>10540</v>
      </c>
      <c r="I32" s="386">
        <v>11109</v>
      </c>
    </row>
    <row r="33" spans="1:11" s="272" customFormat="1" x14ac:dyDescent="0.25">
      <c r="A33" s="271" t="s">
        <v>57</v>
      </c>
      <c r="B33" s="158"/>
      <c r="C33" s="158">
        <v>50000</v>
      </c>
      <c r="D33" s="239"/>
      <c r="E33" s="239">
        <f t="shared" si="15"/>
        <v>50000</v>
      </c>
      <c r="F33" s="879">
        <v>-25000</v>
      </c>
      <c r="G33" s="239">
        <f t="shared" si="16"/>
        <v>25000</v>
      </c>
      <c r="H33" s="239">
        <v>52700</v>
      </c>
      <c r="I33" s="386">
        <v>55546</v>
      </c>
    </row>
    <row r="34" spans="1:11" s="272" customFormat="1" x14ac:dyDescent="0.25">
      <c r="A34" s="271" t="s">
        <v>264</v>
      </c>
      <c r="B34" s="158"/>
      <c r="C34" s="158">
        <v>0</v>
      </c>
      <c r="D34" s="239"/>
      <c r="E34" s="239">
        <f t="shared" si="15"/>
        <v>0</v>
      </c>
      <c r="F34" s="239">
        <v>0</v>
      </c>
      <c r="G34" s="239">
        <f t="shared" si="16"/>
        <v>0</v>
      </c>
      <c r="H34" s="239">
        <v>3000</v>
      </c>
      <c r="I34" s="386">
        <v>3100</v>
      </c>
      <c r="J34" s="483"/>
    </row>
    <row r="35" spans="1:11" s="272" customFormat="1" hidden="1" x14ac:dyDescent="0.25">
      <c r="A35" s="271" t="s">
        <v>683</v>
      </c>
      <c r="B35" s="158"/>
      <c r="C35" s="158"/>
      <c r="D35" s="239"/>
      <c r="E35" s="239">
        <f t="shared" si="15"/>
        <v>0</v>
      </c>
      <c r="F35" s="239">
        <v>0</v>
      </c>
      <c r="G35" s="239">
        <f t="shared" si="16"/>
        <v>0</v>
      </c>
      <c r="H35" s="239">
        <v>0</v>
      </c>
      <c r="I35" s="386">
        <v>0</v>
      </c>
    </row>
    <row r="36" spans="1:11" s="272" customFormat="1" x14ac:dyDescent="0.25">
      <c r="A36" s="271"/>
      <c r="B36" s="158"/>
      <c r="C36" s="158">
        <v>150000</v>
      </c>
      <c r="D36" s="239"/>
      <c r="E36" s="239">
        <f t="shared" si="15"/>
        <v>150000</v>
      </c>
      <c r="F36" s="239">
        <v>0</v>
      </c>
      <c r="G36" s="239">
        <f t="shared" si="16"/>
        <v>150000</v>
      </c>
      <c r="H36" s="239">
        <v>158100</v>
      </c>
      <c r="I36" s="386">
        <v>166637</v>
      </c>
    </row>
    <row r="37" spans="1:11" s="272" customFormat="1" x14ac:dyDescent="0.25">
      <c r="A37" s="271" t="s">
        <v>10</v>
      </c>
      <c r="B37" s="158"/>
      <c r="C37" s="158">
        <v>450000</v>
      </c>
      <c r="D37" s="239">
        <v>41644</v>
      </c>
      <c r="E37" s="239">
        <f t="shared" si="15"/>
        <v>408356</v>
      </c>
      <c r="F37" s="239">
        <v>-200000</v>
      </c>
      <c r="G37" s="239">
        <f t="shared" si="16"/>
        <v>250000</v>
      </c>
      <c r="H37" s="239">
        <v>474300</v>
      </c>
      <c r="I37" s="386">
        <v>499912</v>
      </c>
    </row>
    <row r="38" spans="1:11" s="272" customFormat="1" x14ac:dyDescent="0.25">
      <c r="A38" s="271" t="s">
        <v>773</v>
      </c>
      <c r="B38" s="158"/>
      <c r="C38" s="158">
        <v>75000</v>
      </c>
      <c r="D38" s="239"/>
      <c r="E38" s="239">
        <f t="shared" si="15"/>
        <v>75000</v>
      </c>
      <c r="F38" s="239">
        <v>-25000</v>
      </c>
      <c r="G38" s="239">
        <f t="shared" si="16"/>
        <v>50000</v>
      </c>
      <c r="H38" s="239">
        <v>260000</v>
      </c>
      <c r="I38" s="386">
        <v>270000</v>
      </c>
    </row>
    <row r="39" spans="1:11" s="272" customFormat="1" hidden="1" x14ac:dyDescent="0.25">
      <c r="A39" s="271" t="s">
        <v>684</v>
      </c>
      <c r="B39" s="158"/>
      <c r="C39" s="158">
        <v>0</v>
      </c>
      <c r="D39" s="239"/>
      <c r="E39" s="239">
        <f t="shared" si="15"/>
        <v>0</v>
      </c>
      <c r="F39" s="239">
        <v>0</v>
      </c>
      <c r="G39" s="239">
        <f t="shared" si="16"/>
        <v>0</v>
      </c>
      <c r="H39" s="239">
        <v>0</v>
      </c>
      <c r="I39" s="386">
        <v>0</v>
      </c>
    </row>
    <row r="40" spans="1:11" s="272" customFormat="1" x14ac:dyDescent="0.25">
      <c r="A40" s="253" t="s">
        <v>758</v>
      </c>
      <c r="B40" s="246"/>
      <c r="C40" s="158">
        <v>200000</v>
      </c>
      <c r="D40" s="239"/>
      <c r="E40" s="239">
        <f t="shared" si="15"/>
        <v>200000</v>
      </c>
      <c r="F40" s="239">
        <v>-200000</v>
      </c>
      <c r="G40" s="239">
        <f t="shared" si="16"/>
        <v>0</v>
      </c>
      <c r="H40" s="239">
        <v>210000</v>
      </c>
      <c r="I40" s="386">
        <v>220000</v>
      </c>
    </row>
    <row r="41" spans="1:11" s="552" customFormat="1" ht="30" x14ac:dyDescent="0.25">
      <c r="A41" s="353" t="s">
        <v>675</v>
      </c>
      <c r="B41" s="158"/>
      <c r="C41" s="158">
        <v>500000</v>
      </c>
      <c r="D41" s="239"/>
      <c r="E41" s="239">
        <f t="shared" si="15"/>
        <v>500000</v>
      </c>
      <c r="F41" s="879">
        <v>-300000</v>
      </c>
      <c r="G41" s="239">
        <f t="shared" si="16"/>
        <v>200000</v>
      </c>
      <c r="H41" s="239">
        <v>1300000</v>
      </c>
      <c r="I41" s="386">
        <v>1400000</v>
      </c>
    </row>
    <row r="42" spans="1:11" s="552" customFormat="1" x14ac:dyDescent="0.25">
      <c r="A42" s="253" t="s">
        <v>685</v>
      </c>
      <c r="B42" s="158"/>
      <c r="C42" s="158">
        <v>50000</v>
      </c>
      <c r="D42" s="239"/>
      <c r="E42" s="239">
        <f t="shared" si="15"/>
        <v>50000</v>
      </c>
      <c r="F42" s="879">
        <v>-30000</v>
      </c>
      <c r="G42" s="239">
        <f t="shared" si="16"/>
        <v>20000</v>
      </c>
      <c r="H42" s="239">
        <v>52700</v>
      </c>
      <c r="I42" s="386">
        <v>70000</v>
      </c>
    </row>
    <row r="43" spans="1:11" s="552" customFormat="1" hidden="1" x14ac:dyDescent="0.25">
      <c r="A43" s="253" t="s">
        <v>686</v>
      </c>
      <c r="B43" s="158"/>
      <c r="C43" s="158">
        <v>0</v>
      </c>
      <c r="D43" s="239"/>
      <c r="E43" s="239">
        <f t="shared" si="15"/>
        <v>0</v>
      </c>
      <c r="F43" s="239">
        <v>0</v>
      </c>
      <c r="G43" s="239">
        <f t="shared" si="16"/>
        <v>0</v>
      </c>
      <c r="H43" s="239">
        <v>0</v>
      </c>
      <c r="I43" s="386">
        <v>0</v>
      </c>
    </row>
    <row r="44" spans="1:11" s="552" customFormat="1" x14ac:dyDescent="0.25">
      <c r="A44" s="253" t="s">
        <v>448</v>
      </c>
      <c r="B44" s="158"/>
      <c r="C44" s="158">
        <v>0</v>
      </c>
      <c r="D44" s="239"/>
      <c r="E44" s="239">
        <f t="shared" si="15"/>
        <v>0</v>
      </c>
      <c r="F44" s="239">
        <v>0</v>
      </c>
      <c r="G44" s="239">
        <f t="shared" si="16"/>
        <v>0</v>
      </c>
      <c r="H44" s="239">
        <v>260000</v>
      </c>
      <c r="I44" s="386">
        <v>270000</v>
      </c>
    </row>
    <row r="45" spans="1:11" s="552" customFormat="1" x14ac:dyDescent="0.25">
      <c r="A45" s="253" t="s">
        <v>687</v>
      </c>
      <c r="B45" s="158"/>
      <c r="C45" s="158">
        <v>1800000</v>
      </c>
      <c r="D45" s="239"/>
      <c r="E45" s="239">
        <f t="shared" si="15"/>
        <v>1800000</v>
      </c>
      <c r="F45" s="239">
        <v>-1800000</v>
      </c>
      <c r="G45" s="239">
        <f t="shared" si="16"/>
        <v>0</v>
      </c>
      <c r="H45" s="239">
        <v>1500000</v>
      </c>
      <c r="I45" s="386">
        <v>1500000</v>
      </c>
      <c r="K45" s="483"/>
    </row>
    <row r="46" spans="1:11" s="272" customFormat="1" x14ac:dyDescent="0.25">
      <c r="A46" s="253" t="s">
        <v>686</v>
      </c>
      <c r="B46" s="158">
        <v>500000</v>
      </c>
      <c r="C46" s="158">
        <v>527700</v>
      </c>
      <c r="D46" s="239"/>
      <c r="E46" s="239">
        <f t="shared" si="15"/>
        <v>527700</v>
      </c>
      <c r="F46" s="879">
        <f>-527700*0.5</f>
        <v>-263850</v>
      </c>
      <c r="G46" s="239">
        <f t="shared" si="16"/>
        <v>263850</v>
      </c>
      <c r="H46" s="239">
        <v>1250000</v>
      </c>
      <c r="I46" s="386">
        <v>750000</v>
      </c>
    </row>
    <row r="47" spans="1:11" s="272" customFormat="1" x14ac:dyDescent="0.25">
      <c r="A47" s="253" t="s">
        <v>579</v>
      </c>
      <c r="B47" s="158">
        <v>0</v>
      </c>
      <c r="C47" s="158">
        <v>0</v>
      </c>
      <c r="D47" s="239"/>
      <c r="E47" s="239">
        <f t="shared" si="15"/>
        <v>0</v>
      </c>
      <c r="F47" s="239">
        <v>0</v>
      </c>
      <c r="G47" s="239">
        <f t="shared" si="16"/>
        <v>0</v>
      </c>
      <c r="H47" s="239">
        <v>260000</v>
      </c>
      <c r="I47" s="386">
        <v>270000</v>
      </c>
    </row>
    <row r="48" spans="1:11" s="272" customFormat="1" x14ac:dyDescent="0.25">
      <c r="A48" s="253" t="s">
        <v>580</v>
      </c>
      <c r="B48" s="158">
        <v>0</v>
      </c>
      <c r="C48" s="158">
        <v>750000</v>
      </c>
      <c r="D48" s="239"/>
      <c r="E48" s="239">
        <f t="shared" si="15"/>
        <v>750000</v>
      </c>
      <c r="F48" s="239">
        <v>-750000</v>
      </c>
      <c r="G48" s="239">
        <f t="shared" si="16"/>
        <v>0</v>
      </c>
      <c r="H48" s="239">
        <v>500000</v>
      </c>
      <c r="I48" s="386">
        <v>500000</v>
      </c>
    </row>
    <row r="49" spans="1:9" s="272" customFormat="1" x14ac:dyDescent="0.25">
      <c r="A49" s="253" t="s">
        <v>729</v>
      </c>
      <c r="B49" s="158">
        <v>50000</v>
      </c>
      <c r="C49" s="158">
        <v>52700</v>
      </c>
      <c r="D49" s="239"/>
      <c r="E49" s="239">
        <f t="shared" si="15"/>
        <v>52700</v>
      </c>
      <c r="F49" s="239">
        <v>0</v>
      </c>
      <c r="G49" s="239">
        <f t="shared" si="16"/>
        <v>52700</v>
      </c>
      <c r="H49" s="239">
        <v>50000</v>
      </c>
      <c r="I49" s="386">
        <v>60000</v>
      </c>
    </row>
    <row r="50" spans="1:9" s="272" customFormat="1" ht="30" x14ac:dyDescent="0.25">
      <c r="A50" s="353" t="s">
        <v>676</v>
      </c>
      <c r="B50" s="158"/>
      <c r="C50" s="158">
        <v>1500000</v>
      </c>
      <c r="D50" s="239"/>
      <c r="E50" s="239">
        <f t="shared" si="15"/>
        <v>1500000</v>
      </c>
      <c r="F50" s="239">
        <v>-1500000</v>
      </c>
      <c r="G50" s="239">
        <f t="shared" si="16"/>
        <v>0</v>
      </c>
      <c r="H50" s="239">
        <v>1500000</v>
      </c>
      <c r="I50" s="386">
        <v>500000</v>
      </c>
    </row>
    <row r="51" spans="1:9" s="272" customFormat="1" x14ac:dyDescent="0.25">
      <c r="A51" s="353" t="s">
        <v>671</v>
      </c>
      <c r="B51" s="158"/>
      <c r="C51" s="158">
        <v>1500000</v>
      </c>
      <c r="D51" s="239"/>
      <c r="E51" s="239">
        <f t="shared" si="15"/>
        <v>1500000</v>
      </c>
      <c r="F51" s="239">
        <v>-1500000</v>
      </c>
      <c r="G51" s="239">
        <f t="shared" si="16"/>
        <v>0</v>
      </c>
      <c r="H51" s="239">
        <v>1000000</v>
      </c>
      <c r="I51" s="386">
        <v>1000000</v>
      </c>
    </row>
    <row r="52" spans="1:9" s="272" customFormat="1" x14ac:dyDescent="0.25">
      <c r="A52" s="253" t="s">
        <v>51</v>
      </c>
      <c r="B52" s="158"/>
      <c r="C52" s="158">
        <v>750000</v>
      </c>
      <c r="D52" s="239"/>
      <c r="E52" s="239">
        <f t="shared" si="15"/>
        <v>750000</v>
      </c>
      <c r="F52" s="879">
        <v>-600000</v>
      </c>
      <c r="G52" s="239">
        <f t="shared" si="16"/>
        <v>150000</v>
      </c>
      <c r="H52" s="239">
        <v>750000</v>
      </c>
      <c r="I52" s="386">
        <v>150000</v>
      </c>
    </row>
    <row r="53" spans="1:9" s="272" customFormat="1" x14ac:dyDescent="0.25">
      <c r="A53" s="253" t="s">
        <v>458</v>
      </c>
      <c r="B53" s="158"/>
      <c r="C53" s="158">
        <v>200000</v>
      </c>
      <c r="D53" s="239"/>
      <c r="E53" s="239">
        <f t="shared" si="15"/>
        <v>200000</v>
      </c>
      <c r="F53" s="239">
        <v>-200000</v>
      </c>
      <c r="G53" s="239">
        <f t="shared" si="16"/>
        <v>0</v>
      </c>
      <c r="H53" s="239">
        <v>220000</v>
      </c>
      <c r="I53" s="386">
        <v>240000</v>
      </c>
    </row>
    <row r="54" spans="1:9" s="272" customFormat="1" ht="30" x14ac:dyDescent="0.25">
      <c r="A54" s="353" t="s">
        <v>677</v>
      </c>
      <c r="B54" s="158"/>
      <c r="C54" s="158">
        <v>600000</v>
      </c>
      <c r="D54" s="239"/>
      <c r="E54" s="239">
        <f t="shared" si="15"/>
        <v>600000</v>
      </c>
      <c r="F54" s="239">
        <v>-600000</v>
      </c>
      <c r="G54" s="239">
        <f t="shared" si="16"/>
        <v>0</v>
      </c>
      <c r="H54" s="239">
        <v>700000</v>
      </c>
      <c r="I54" s="386">
        <v>800000</v>
      </c>
    </row>
    <row r="55" spans="1:9" s="272" customFormat="1" x14ac:dyDescent="0.25">
      <c r="A55" s="253" t="s">
        <v>678</v>
      </c>
      <c r="B55" s="158"/>
      <c r="C55" s="158">
        <v>100000</v>
      </c>
      <c r="D55" s="239"/>
      <c r="E55" s="239">
        <f t="shared" si="15"/>
        <v>100000</v>
      </c>
      <c r="F55" s="239">
        <v>-100000</v>
      </c>
      <c r="G55" s="239">
        <f t="shared" si="16"/>
        <v>0</v>
      </c>
      <c r="H55" s="239">
        <v>110000</v>
      </c>
      <c r="I55" s="386">
        <v>120000</v>
      </c>
    </row>
    <row r="56" spans="1:9" s="272" customFormat="1" x14ac:dyDescent="0.25">
      <c r="A56" s="253" t="s">
        <v>679</v>
      </c>
      <c r="B56" s="158"/>
      <c r="C56" s="158">
        <v>0</v>
      </c>
      <c r="D56" s="239"/>
      <c r="E56" s="239">
        <f t="shared" si="15"/>
        <v>0</v>
      </c>
      <c r="F56" s="239">
        <v>0</v>
      </c>
      <c r="G56" s="239">
        <f t="shared" si="16"/>
        <v>0</v>
      </c>
      <c r="H56" s="239">
        <v>150000</v>
      </c>
      <c r="I56" s="386">
        <v>170000</v>
      </c>
    </row>
    <row r="57" spans="1:9" s="272" customFormat="1" x14ac:dyDescent="0.25">
      <c r="A57" s="271" t="s">
        <v>581</v>
      </c>
      <c r="B57" s="158">
        <v>0</v>
      </c>
      <c r="C57" s="158">
        <v>0</v>
      </c>
      <c r="D57" s="239"/>
      <c r="E57" s="239">
        <f t="shared" si="15"/>
        <v>0</v>
      </c>
      <c r="F57" s="239">
        <v>0</v>
      </c>
      <c r="G57" s="239">
        <f t="shared" si="16"/>
        <v>0</v>
      </c>
      <c r="H57" s="158">
        <v>0</v>
      </c>
      <c r="I57" s="423"/>
    </row>
    <row r="58" spans="1:9" s="272" customFormat="1" ht="30" x14ac:dyDescent="0.25">
      <c r="A58" s="251" t="s">
        <v>726</v>
      </c>
      <c r="B58" s="158"/>
      <c r="C58" s="158">
        <v>1500000</v>
      </c>
      <c r="D58" s="239"/>
      <c r="E58" s="239">
        <f t="shared" si="15"/>
        <v>1500000</v>
      </c>
      <c r="F58" s="239">
        <v>-1500000</v>
      </c>
      <c r="G58" s="239">
        <f t="shared" si="16"/>
        <v>0</v>
      </c>
      <c r="H58" s="158">
        <v>500000</v>
      </c>
      <c r="I58" s="423">
        <v>0</v>
      </c>
    </row>
    <row r="59" spans="1:9" s="272" customFormat="1" x14ac:dyDescent="0.25">
      <c r="A59" s="253" t="s">
        <v>774</v>
      </c>
      <c r="B59" s="158"/>
      <c r="C59" s="158">
        <v>200000</v>
      </c>
      <c r="D59" s="239"/>
      <c r="E59" s="239">
        <f t="shared" si="15"/>
        <v>200000</v>
      </c>
      <c r="F59" s="879">
        <v>-100000</v>
      </c>
      <c r="G59" s="239">
        <f t="shared" si="16"/>
        <v>100000</v>
      </c>
      <c r="H59" s="239">
        <v>210000</v>
      </c>
      <c r="I59" s="386">
        <v>260000</v>
      </c>
    </row>
    <row r="60" spans="1:9" s="272" customFormat="1" ht="30" x14ac:dyDescent="0.25">
      <c r="A60" s="353" t="s">
        <v>680</v>
      </c>
      <c r="B60" s="158"/>
      <c r="C60" s="158">
        <v>250000</v>
      </c>
      <c r="D60" s="239"/>
      <c r="E60" s="239">
        <f t="shared" si="15"/>
        <v>250000</v>
      </c>
      <c r="F60" s="239">
        <v>-250000</v>
      </c>
      <c r="G60" s="239">
        <f t="shared" si="16"/>
        <v>0</v>
      </c>
      <c r="H60" s="239">
        <v>260000</v>
      </c>
      <c r="I60" s="386">
        <v>270000</v>
      </c>
    </row>
    <row r="61" spans="1:9" s="272" customFormat="1" ht="30" x14ac:dyDescent="0.25">
      <c r="A61" s="353" t="s">
        <v>727</v>
      </c>
      <c r="B61" s="158"/>
      <c r="C61" s="158">
        <v>0</v>
      </c>
      <c r="D61" s="239"/>
      <c r="E61" s="239">
        <f t="shared" si="15"/>
        <v>0</v>
      </c>
      <c r="F61" s="239">
        <v>0</v>
      </c>
      <c r="G61" s="239">
        <f t="shared" si="16"/>
        <v>0</v>
      </c>
      <c r="H61" s="239">
        <v>200000</v>
      </c>
      <c r="I61" s="386">
        <v>100000</v>
      </c>
    </row>
    <row r="62" spans="1:9" s="272" customFormat="1" x14ac:dyDescent="0.25">
      <c r="A62" s="253" t="s">
        <v>270</v>
      </c>
      <c r="B62" s="246"/>
      <c r="C62" s="158">
        <v>5540000</v>
      </c>
      <c r="D62" s="239">
        <v>13595282</v>
      </c>
      <c r="E62" s="239">
        <f t="shared" si="15"/>
        <v>-8055282</v>
      </c>
      <c r="F62" s="239">
        <v>10000000</v>
      </c>
      <c r="G62" s="239">
        <f t="shared" si="16"/>
        <v>15540000</v>
      </c>
      <c r="H62" s="239">
        <v>6000000</v>
      </c>
      <c r="I62" s="386">
        <v>5500000</v>
      </c>
    </row>
    <row r="63" spans="1:9" s="272" customFormat="1" x14ac:dyDescent="0.25">
      <c r="A63" s="424" t="s">
        <v>42</v>
      </c>
      <c r="B63" s="246">
        <f>SUM(B41:B62)</f>
        <v>550000</v>
      </c>
      <c r="C63" s="246">
        <f>SUM(C30:C62)</f>
        <v>17026846</v>
      </c>
      <c r="D63" s="246">
        <f>SUM(D30:D62)</f>
        <v>13709621.85</v>
      </c>
      <c r="E63" s="246">
        <f>SUM(E30:E62)</f>
        <v>3317224.1500000004</v>
      </c>
      <c r="F63" s="246">
        <f t="shared" ref="F63:G63" si="17">SUM(F30:F62)</f>
        <v>56150</v>
      </c>
      <c r="G63" s="246">
        <f t="shared" si="17"/>
        <v>17082996</v>
      </c>
      <c r="H63" s="246">
        <f>SUM(H30:H62)</f>
        <v>18228051.375</v>
      </c>
      <c r="I63" s="246">
        <f>SUM(I30:I62)</f>
        <v>15459142.8359375</v>
      </c>
    </row>
    <row r="64" spans="1:9" s="272" customFormat="1" x14ac:dyDescent="0.25">
      <c r="A64" s="425"/>
      <c r="B64" s="158"/>
      <c r="C64" s="158"/>
      <c r="D64" s="239"/>
      <c r="E64" s="239"/>
      <c r="F64" s="239"/>
      <c r="G64" s="239"/>
      <c r="H64" s="239"/>
      <c r="I64" s="386"/>
    </row>
    <row r="65" spans="1:9" s="272" customFormat="1" ht="15.75" thickBot="1" x14ac:dyDescent="0.3">
      <c r="A65" s="426" t="s">
        <v>44</v>
      </c>
      <c r="B65" s="392">
        <f ca="1">B11+B19+B22+B27+B63</f>
        <v>19927842</v>
      </c>
      <c r="C65" s="392">
        <f>C63+C27+C22+C19+C11</f>
        <v>32062628</v>
      </c>
      <c r="D65" s="392">
        <f>D63+D27+D22+D19+D11</f>
        <v>24604988.850000001</v>
      </c>
      <c r="E65" s="392">
        <f>E63+E27+E22+E19+E11</f>
        <v>7457639.1500000004</v>
      </c>
      <c r="F65" s="392">
        <f t="shared" ref="F65:G65" si="18">F63+F27+F22+F19+F11</f>
        <v>3300960</v>
      </c>
      <c r="G65" s="392">
        <f t="shared" si="18"/>
        <v>35363588</v>
      </c>
      <c r="H65" s="392">
        <f>SUM(H63,H27,H22,H20)</f>
        <v>19446098.375</v>
      </c>
      <c r="I65" s="392">
        <f>SUM(I63,I27,I22,I20)</f>
        <v>16753202.8984375</v>
      </c>
    </row>
    <row r="69" spans="1:9" x14ac:dyDescent="0.25">
      <c r="B69" s="352"/>
      <c r="C69" s="352"/>
      <c r="D69" s="352"/>
      <c r="E69" s="352"/>
      <c r="F69" s="352"/>
      <c r="G69" s="352"/>
      <c r="H69" s="352"/>
    </row>
    <row r="70" spans="1:9" x14ac:dyDescent="0.25">
      <c r="B70" s="352"/>
      <c r="C70" s="352"/>
      <c r="D70" s="352"/>
      <c r="E70" s="352"/>
      <c r="F70" s="352"/>
      <c r="G70" s="352"/>
      <c r="H70" s="352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3" fitToHeight="2" orientation="landscape" r:id="rId1"/>
  <headerFooter alignWithMargins="0">
    <oddFooter>&amp;A&amp;RPage &amp;P</oddFooter>
  </headerFooter>
  <rowBreaks count="1" manualBreakCount="1">
    <brk id="39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I34"/>
  <sheetViews>
    <sheetView view="pageBreakPreview" topLeftCell="A14" zoomScale="60" zoomScaleNormal="100" workbookViewId="0">
      <selection activeCell="H48" sqref="H48"/>
    </sheetView>
  </sheetViews>
  <sheetFormatPr defaultColWidth="9.28515625" defaultRowHeight="15" x14ac:dyDescent="0.25"/>
  <cols>
    <col min="1" max="1" width="25.42578125" style="352" customWidth="1"/>
    <col min="2" max="2" width="12.7109375" style="247" hidden="1" customWidth="1"/>
    <col min="3" max="7" width="17.28515625" style="247" customWidth="1"/>
    <col min="8" max="8" width="18" style="247" customWidth="1"/>
    <col min="9" max="9" width="14.140625" style="352" customWidth="1"/>
    <col min="10" max="16384" width="9.28515625" style="352"/>
  </cols>
  <sheetData>
    <row r="1" spans="1:9" s="272" customFormat="1" ht="18.75" x14ac:dyDescent="0.3">
      <c r="A1" s="515" t="s">
        <v>485</v>
      </c>
      <c r="B1" s="362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36.7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385" t="s">
        <v>644</v>
      </c>
    </row>
    <row r="4" spans="1:9" s="272" customFormat="1" x14ac:dyDescent="0.25">
      <c r="A4" s="807" t="s">
        <v>2</v>
      </c>
      <c r="B4" s="158">
        <v>1708415</v>
      </c>
      <c r="C4" s="158">
        <f>B4*6.25%+B4</f>
        <v>1815190.9375</v>
      </c>
      <c r="D4" s="239">
        <v>207575.92</v>
      </c>
      <c r="E4" s="239">
        <f>C4-D4</f>
        <v>1607615.0175000001</v>
      </c>
      <c r="F4" s="239">
        <f>-1000000-300000</f>
        <v>-1300000</v>
      </c>
      <c r="G4" s="158">
        <f>C4+F4</f>
        <v>515190.9375</v>
      </c>
      <c r="H4" s="158">
        <f>C4*6.25%+C4</f>
        <v>1928640.37109375</v>
      </c>
      <c r="I4" s="386">
        <f>H4*6.25%+H4</f>
        <v>2049180.3942871094</v>
      </c>
    </row>
    <row r="5" spans="1:9" s="272" customFormat="1" x14ac:dyDescent="0.25">
      <c r="A5" s="253" t="s">
        <v>3</v>
      </c>
      <c r="B5" s="158">
        <v>34170</v>
      </c>
      <c r="C5" s="158">
        <f t="shared" ref="C5:I7" si="0">B5*6.25%+B5</f>
        <v>36305.625</v>
      </c>
      <c r="D5" s="239">
        <v>28336.82</v>
      </c>
      <c r="E5" s="239">
        <f t="shared" ref="E5:E9" si="1">C5-D5</f>
        <v>7968.8050000000003</v>
      </c>
      <c r="F5" s="239">
        <v>0</v>
      </c>
      <c r="G5" s="158">
        <f t="shared" ref="G5:G9" si="2">C5+F5</f>
        <v>36305.625</v>
      </c>
      <c r="H5" s="158">
        <f>C5*6.25%+C5</f>
        <v>38574.7265625</v>
      </c>
      <c r="I5" s="386">
        <f t="shared" si="0"/>
        <v>40985.64697265625</v>
      </c>
    </row>
    <row r="6" spans="1:9" s="272" customFormat="1" x14ac:dyDescent="0.25">
      <c r="A6" s="253" t="s">
        <v>173</v>
      </c>
      <c r="B6" s="158"/>
      <c r="C6" s="158">
        <v>83505</v>
      </c>
      <c r="D6" s="239"/>
      <c r="E6" s="239">
        <f t="shared" si="1"/>
        <v>83505</v>
      </c>
      <c r="F6" s="239">
        <v>0</v>
      </c>
      <c r="G6" s="158">
        <f t="shared" si="2"/>
        <v>83505</v>
      </c>
      <c r="H6" s="158">
        <f>C6*6.25%+C6</f>
        <v>88724.0625</v>
      </c>
      <c r="I6" s="386">
        <f>H6*6.25%+H6</f>
        <v>94269.31640625</v>
      </c>
    </row>
    <row r="7" spans="1:9" s="272" customFormat="1" x14ac:dyDescent="0.25">
      <c r="A7" s="253" t="s">
        <v>5</v>
      </c>
      <c r="B7" s="158">
        <v>169999</v>
      </c>
      <c r="C7" s="158">
        <f t="shared" si="0"/>
        <v>180623.9375</v>
      </c>
      <c r="D7" s="239">
        <v>58781</v>
      </c>
      <c r="E7" s="239">
        <f t="shared" si="1"/>
        <v>121842.9375</v>
      </c>
      <c r="F7" s="239">
        <v>0</v>
      </c>
      <c r="G7" s="158">
        <f t="shared" si="2"/>
        <v>180623.9375</v>
      </c>
      <c r="H7" s="158">
        <f>C7*6.25%+C7</f>
        <v>191912.93359375</v>
      </c>
      <c r="I7" s="386">
        <f t="shared" si="0"/>
        <v>203907.49194335938</v>
      </c>
    </row>
    <row r="8" spans="1:9" s="272" customFormat="1" x14ac:dyDescent="0.25">
      <c r="A8" s="807" t="s">
        <v>2</v>
      </c>
      <c r="B8" s="158"/>
      <c r="C8" s="158"/>
      <c r="D8" s="239">
        <v>466247.85</v>
      </c>
      <c r="E8" s="239">
        <f t="shared" si="1"/>
        <v>-466247.85</v>
      </c>
      <c r="F8" s="239">
        <v>1000000</v>
      </c>
      <c r="G8" s="158">
        <f t="shared" si="2"/>
        <v>1000000</v>
      </c>
      <c r="H8" s="158">
        <v>0</v>
      </c>
      <c r="I8" s="386">
        <v>0</v>
      </c>
    </row>
    <row r="9" spans="1:9" s="272" customFormat="1" x14ac:dyDescent="0.25">
      <c r="A9" s="253" t="s">
        <v>5</v>
      </c>
      <c r="B9" s="158"/>
      <c r="C9" s="158"/>
      <c r="D9" s="239">
        <v>150000</v>
      </c>
      <c r="E9" s="239">
        <f t="shared" si="1"/>
        <v>-150000</v>
      </c>
      <c r="F9" s="239">
        <v>300000</v>
      </c>
      <c r="G9" s="158">
        <f t="shared" si="2"/>
        <v>300000</v>
      </c>
      <c r="H9" s="158">
        <v>0</v>
      </c>
      <c r="I9" s="386">
        <v>0</v>
      </c>
    </row>
    <row r="10" spans="1:9" s="272" customFormat="1" x14ac:dyDescent="0.25">
      <c r="A10" s="424" t="s">
        <v>40</v>
      </c>
      <c r="B10" s="246">
        <f>SUM(B4:B7)</f>
        <v>1912584</v>
      </c>
      <c r="C10" s="246">
        <f>SUM(C4:C9)</f>
        <v>2115625.5</v>
      </c>
      <c r="D10" s="246">
        <f t="shared" ref="D10:I10" si="3">SUM(D4:D9)</f>
        <v>910941.59</v>
      </c>
      <c r="E10" s="246">
        <f t="shared" si="3"/>
        <v>1204683.9100000001</v>
      </c>
      <c r="F10" s="246">
        <f t="shared" si="3"/>
        <v>0</v>
      </c>
      <c r="G10" s="246">
        <f t="shared" si="3"/>
        <v>2115625.5</v>
      </c>
      <c r="H10" s="246">
        <f t="shared" si="3"/>
        <v>2247852.09375</v>
      </c>
      <c r="I10" s="246">
        <f t="shared" si="3"/>
        <v>2388342.849609375</v>
      </c>
    </row>
    <row r="11" spans="1:9" s="272" customFormat="1" x14ac:dyDescent="0.25">
      <c r="A11" s="253"/>
      <c r="B11" s="158"/>
      <c r="C11" s="158"/>
      <c r="D11" s="158"/>
      <c r="E11" s="158"/>
      <c r="F11" s="158"/>
      <c r="G11" s="158"/>
      <c r="H11" s="158"/>
      <c r="I11" s="386">
        <f>H11*6.9%+H11</f>
        <v>0</v>
      </c>
    </row>
    <row r="12" spans="1:9" s="272" customFormat="1" x14ac:dyDescent="0.25">
      <c r="A12" s="253" t="s">
        <v>6</v>
      </c>
      <c r="B12" s="158">
        <v>46452</v>
      </c>
      <c r="C12" s="158">
        <f>B12*6.25%+B12</f>
        <v>49355.25</v>
      </c>
      <c r="D12" s="239">
        <v>24314</v>
      </c>
      <c r="E12" s="239">
        <f t="shared" ref="E12:E15" si="4">C12-D12</f>
        <v>25041.25</v>
      </c>
      <c r="F12" s="239">
        <v>0</v>
      </c>
      <c r="G12" s="158">
        <f t="shared" ref="G12:G16" si="5">C12+F12</f>
        <v>49355.25</v>
      </c>
      <c r="H12" s="158">
        <f>C12*6.25%+C12</f>
        <v>52439.953125</v>
      </c>
      <c r="I12" s="386">
        <f>H12*6.25%+H12</f>
        <v>55717.4501953125</v>
      </c>
    </row>
    <row r="13" spans="1:9" s="272" customFormat="1" x14ac:dyDescent="0.25">
      <c r="A13" s="253" t="s">
        <v>7</v>
      </c>
      <c r="B13" s="158">
        <v>17084</v>
      </c>
      <c r="C13" s="158">
        <f t="shared" ref="C13:I14" si="6">B13*6.25%+B13</f>
        <v>18151.75</v>
      </c>
      <c r="D13" s="239">
        <v>892.32</v>
      </c>
      <c r="E13" s="239">
        <f t="shared" si="4"/>
        <v>17259.43</v>
      </c>
      <c r="F13" s="239">
        <v>0</v>
      </c>
      <c r="G13" s="158">
        <f t="shared" si="5"/>
        <v>18151.75</v>
      </c>
      <c r="H13" s="158">
        <f>C13*6.25%+C13</f>
        <v>19286.234375</v>
      </c>
      <c r="I13" s="386">
        <f t="shared" si="6"/>
        <v>20491.6240234375</v>
      </c>
    </row>
    <row r="14" spans="1:9" s="272" customFormat="1" x14ac:dyDescent="0.25">
      <c r="A14" s="253" t="s">
        <v>8</v>
      </c>
      <c r="B14" s="158">
        <v>90210</v>
      </c>
      <c r="C14" s="158">
        <f t="shared" si="6"/>
        <v>95848.125</v>
      </c>
      <c r="D14" s="239">
        <v>30603.78</v>
      </c>
      <c r="E14" s="239">
        <f t="shared" si="4"/>
        <v>65244.345000000001</v>
      </c>
      <c r="F14" s="239">
        <v>0</v>
      </c>
      <c r="G14" s="158">
        <f t="shared" si="5"/>
        <v>95848.125</v>
      </c>
      <c r="H14" s="158">
        <f>C14*6.25%+C14</f>
        <v>101838.6328125</v>
      </c>
      <c r="I14" s="386">
        <f t="shared" si="6"/>
        <v>108203.54736328125</v>
      </c>
    </row>
    <row r="15" spans="1:9" s="93" customFormat="1" x14ac:dyDescent="0.25">
      <c r="A15" s="96" t="s">
        <v>396</v>
      </c>
      <c r="B15" s="91"/>
      <c r="C15" s="91">
        <v>4200</v>
      </c>
      <c r="D15" s="176"/>
      <c r="E15" s="239">
        <f t="shared" si="4"/>
        <v>4200</v>
      </c>
      <c r="F15" s="239">
        <v>0</v>
      </c>
      <c r="G15" s="158">
        <f t="shared" si="5"/>
        <v>4200</v>
      </c>
      <c r="H15" s="91">
        <v>4489.8</v>
      </c>
      <c r="I15" s="404">
        <v>4799.5962</v>
      </c>
    </row>
    <row r="16" spans="1:9" s="272" customFormat="1" x14ac:dyDescent="0.25">
      <c r="A16" s="785" t="s">
        <v>872</v>
      </c>
      <c r="B16" s="158">
        <v>17094</v>
      </c>
      <c r="F16" s="272">
        <v>108</v>
      </c>
      <c r="G16" s="158">
        <f t="shared" si="5"/>
        <v>108</v>
      </c>
      <c r="H16" s="272">
        <v>0</v>
      </c>
      <c r="I16" s="272">
        <v>0</v>
      </c>
    </row>
    <row r="17" spans="1:9" s="272" customFormat="1" x14ac:dyDescent="0.25">
      <c r="A17" s="424" t="s">
        <v>41</v>
      </c>
      <c r="B17" s="246">
        <f>SUM(B12:B16)</f>
        <v>170840</v>
      </c>
      <c r="C17" s="246">
        <f>SUM(C12:C16)</f>
        <v>167555.125</v>
      </c>
      <c r="D17" s="246">
        <f>SUM(D12:D16)</f>
        <v>55810.1</v>
      </c>
      <c r="E17" s="246">
        <f>SUM(E12:E16)</f>
        <v>111745.02499999999</v>
      </c>
      <c r="F17" s="246">
        <f t="shared" ref="F17:G17" si="7">SUM(F12:F16)</f>
        <v>108</v>
      </c>
      <c r="G17" s="246">
        <f t="shared" si="7"/>
        <v>167663.125</v>
      </c>
      <c r="H17" s="246">
        <f>SUM(H12:H16)</f>
        <v>178054.62031249999</v>
      </c>
      <c r="I17" s="246">
        <f>SUM(I12:I16)</f>
        <v>189212.21778203125</v>
      </c>
    </row>
    <row r="18" spans="1:9" s="272" customFormat="1" x14ac:dyDescent="0.25">
      <c r="A18" s="253"/>
      <c r="B18" s="246"/>
      <c r="C18" s="246"/>
      <c r="D18" s="246"/>
      <c r="E18" s="246"/>
      <c r="F18" s="246"/>
      <c r="G18" s="246"/>
      <c r="H18" s="246"/>
      <c r="I18" s="246"/>
    </row>
    <row r="19" spans="1:9" x14ac:dyDescent="0.25">
      <c r="A19" s="253" t="s">
        <v>211</v>
      </c>
      <c r="B19" s="158">
        <v>144680</v>
      </c>
      <c r="C19" s="158">
        <f>B19*4.5%+B19</f>
        <v>151190.6</v>
      </c>
      <c r="D19" s="239"/>
      <c r="E19" s="239">
        <f t="shared" ref="E19" si="8">C19-D19</f>
        <v>151190.6</v>
      </c>
      <c r="F19" s="239">
        <v>0</v>
      </c>
      <c r="G19" s="158">
        <f t="shared" ref="G19" si="9">C19+F19</f>
        <v>151190.6</v>
      </c>
      <c r="H19" s="158">
        <f>C19*6.25%+C19</f>
        <v>160640.01250000001</v>
      </c>
      <c r="I19" s="386">
        <f>H19*6.25%+H19</f>
        <v>170680.01328125002</v>
      </c>
    </row>
    <row r="20" spans="1:9" x14ac:dyDescent="0.25">
      <c r="A20" s="424" t="s">
        <v>211</v>
      </c>
      <c r="B20" s="246">
        <f>B19</f>
        <v>144680</v>
      </c>
      <c r="C20" s="246">
        <f>C19</f>
        <v>151190.6</v>
      </c>
      <c r="D20" s="246">
        <f>D19</f>
        <v>0</v>
      </c>
      <c r="E20" s="246">
        <f>E19</f>
        <v>151190.6</v>
      </c>
      <c r="F20" s="246">
        <f t="shared" ref="F20:G20" si="10">F19</f>
        <v>0</v>
      </c>
      <c r="G20" s="246">
        <f t="shared" si="10"/>
        <v>151190.6</v>
      </c>
      <c r="H20" s="246">
        <f>H19</f>
        <v>160640.01250000001</v>
      </c>
      <c r="I20" s="387">
        <f>I19</f>
        <v>170680.01328125002</v>
      </c>
    </row>
    <row r="21" spans="1:9" s="272" customFormat="1" x14ac:dyDescent="0.25">
      <c r="A21" s="253"/>
      <c r="B21" s="246"/>
      <c r="C21" s="246"/>
      <c r="D21" s="246"/>
      <c r="E21" s="246"/>
      <c r="F21" s="246"/>
      <c r="G21" s="246"/>
      <c r="H21" s="246"/>
      <c r="I21" s="386">
        <f>H21*6.9%+H21</f>
        <v>0</v>
      </c>
    </row>
    <row r="22" spans="1:9" s="272" customFormat="1" x14ac:dyDescent="0.25">
      <c r="A22" s="253" t="s">
        <v>20</v>
      </c>
      <c r="B22" s="158">
        <v>120000</v>
      </c>
      <c r="C22" s="158">
        <f>B22*6.25%+B22</f>
        <v>127500</v>
      </c>
      <c r="D22" s="239"/>
      <c r="E22" s="239">
        <f t="shared" ref="E22" si="11">C22-D22</f>
        <v>127500</v>
      </c>
      <c r="F22" s="879">
        <f>-127500*0.5</f>
        <v>-63750</v>
      </c>
      <c r="G22" s="805">
        <f t="shared" ref="G22" si="12">C22+F22</f>
        <v>63750</v>
      </c>
      <c r="H22" s="158">
        <f>C22*6.25%+C22</f>
        <v>135468.75</v>
      </c>
      <c r="I22" s="386">
        <f>H22*6.25%+H22</f>
        <v>143935.546875</v>
      </c>
    </row>
    <row r="23" spans="1:9" s="479" customFormat="1" x14ac:dyDescent="0.25">
      <c r="A23" s="424" t="s">
        <v>43</v>
      </c>
      <c r="B23" s="246">
        <f>SUM(B22)</f>
        <v>120000</v>
      </c>
      <c r="C23" s="246">
        <f>SUM(C22)</f>
        <v>127500</v>
      </c>
      <c r="D23" s="246">
        <f>SUM(D22)</f>
        <v>0</v>
      </c>
      <c r="E23" s="246">
        <f>SUM(E22)</f>
        <v>127500</v>
      </c>
      <c r="F23" s="806">
        <f t="shared" ref="F23:G23" si="13">SUM(F22)</f>
        <v>-63750</v>
      </c>
      <c r="G23" s="806">
        <f t="shared" si="13"/>
        <v>63750</v>
      </c>
      <c r="H23" s="246">
        <f>SUM(H22)</f>
        <v>135468.75</v>
      </c>
      <c r="I23" s="387">
        <f>SUM(I22)</f>
        <v>143935.546875</v>
      </c>
    </row>
    <row r="24" spans="1:9" s="479" customFormat="1" x14ac:dyDescent="0.25">
      <c r="A24" s="477"/>
      <c r="B24" s="246"/>
      <c r="C24" s="246"/>
      <c r="D24" s="246"/>
      <c r="E24" s="246"/>
      <c r="F24" s="246"/>
      <c r="G24" s="246"/>
      <c r="H24" s="246"/>
      <c r="I24" s="387"/>
    </row>
    <row r="25" spans="1:9" s="272" customFormat="1" x14ac:dyDescent="0.25">
      <c r="A25" s="253" t="s">
        <v>9</v>
      </c>
      <c r="B25" s="158"/>
      <c r="C25" s="158">
        <f>B16*6.25%+B16</f>
        <v>18162.375</v>
      </c>
      <c r="D25" s="239">
        <v>13971.17</v>
      </c>
      <c r="E25" s="239">
        <f t="shared" ref="E25:E29" si="14">C25-D25</f>
        <v>4191.2049999999999</v>
      </c>
      <c r="F25" s="239">
        <v>12000</v>
      </c>
      <c r="G25" s="158">
        <f t="shared" ref="G25:G29" si="15">C25+F25</f>
        <v>30162.375</v>
      </c>
      <c r="H25" s="158">
        <f>C25*6.25%+C25</f>
        <v>19297.5234375</v>
      </c>
      <c r="I25" s="386">
        <f>H25*6.25%+H25</f>
        <v>20503.61865234375</v>
      </c>
    </row>
    <row r="26" spans="1:9" s="272" customFormat="1" x14ac:dyDescent="0.25">
      <c r="A26" s="253" t="s">
        <v>24</v>
      </c>
      <c r="B26" s="158">
        <v>150000</v>
      </c>
      <c r="C26" s="158">
        <f>B26*6.25%+B26</f>
        <v>159375</v>
      </c>
      <c r="D26" s="239"/>
      <c r="E26" s="239">
        <f t="shared" si="14"/>
        <v>159375</v>
      </c>
      <c r="F26" s="239">
        <v>-59373</v>
      </c>
      <c r="G26" s="158">
        <f t="shared" si="15"/>
        <v>100002</v>
      </c>
      <c r="H26" s="158">
        <f>C26*6.25%+C26</f>
        <v>169335.9375</v>
      </c>
      <c r="I26" s="386">
        <f>H26*6.25%+H26</f>
        <v>179919.43359375</v>
      </c>
    </row>
    <row r="27" spans="1:9" s="272" customFormat="1" x14ac:dyDescent="0.25">
      <c r="A27" s="253" t="s">
        <v>63</v>
      </c>
      <c r="B27" s="158">
        <v>8000</v>
      </c>
      <c r="C27" s="158">
        <f t="shared" ref="C27:I29" si="16">B27*6.25%+B27</f>
        <v>8500</v>
      </c>
      <c r="D27" s="239"/>
      <c r="E27" s="239">
        <f t="shared" si="14"/>
        <v>8500</v>
      </c>
      <c r="F27" s="239">
        <v>0</v>
      </c>
      <c r="G27" s="158">
        <f t="shared" si="15"/>
        <v>8500</v>
      </c>
      <c r="H27" s="158">
        <f>C27*6.25%+C27</f>
        <v>9031.25</v>
      </c>
      <c r="I27" s="386">
        <f t="shared" si="16"/>
        <v>9595.703125</v>
      </c>
    </row>
    <row r="28" spans="1:9" s="272" customFormat="1" x14ac:dyDescent="0.25">
      <c r="A28" s="253" t="s">
        <v>59</v>
      </c>
      <c r="B28" s="158">
        <v>15000</v>
      </c>
      <c r="C28" s="158">
        <f t="shared" si="16"/>
        <v>15937.5</v>
      </c>
      <c r="D28" s="239"/>
      <c r="E28" s="239">
        <f t="shared" si="14"/>
        <v>15937.5</v>
      </c>
      <c r="F28" s="879">
        <v>-10000</v>
      </c>
      <c r="G28" s="158">
        <f t="shared" si="15"/>
        <v>5937.5</v>
      </c>
      <c r="H28" s="158">
        <f>C28*6.25%+C28</f>
        <v>16933.59375</v>
      </c>
      <c r="I28" s="386">
        <f t="shared" si="16"/>
        <v>17991.943359375</v>
      </c>
    </row>
    <row r="29" spans="1:9" s="272" customFormat="1" x14ac:dyDescent="0.25">
      <c r="A29" s="253" t="s">
        <v>51</v>
      </c>
      <c r="B29" s="158">
        <f>170000/2</f>
        <v>85000</v>
      </c>
      <c r="C29" s="158">
        <f t="shared" si="16"/>
        <v>90312.5</v>
      </c>
      <c r="D29" s="239">
        <v>12912.55</v>
      </c>
      <c r="E29" s="239">
        <f t="shared" si="14"/>
        <v>77399.95</v>
      </c>
      <c r="F29" s="879">
        <f>-90313*0.5</f>
        <v>-45156.5</v>
      </c>
      <c r="G29" s="158">
        <f t="shared" si="15"/>
        <v>45156</v>
      </c>
      <c r="H29" s="158">
        <f>C29*6.25%+C29</f>
        <v>95957.03125</v>
      </c>
      <c r="I29" s="386">
        <f t="shared" si="16"/>
        <v>101954.345703125</v>
      </c>
    </row>
    <row r="30" spans="1:9" s="272" customFormat="1" x14ac:dyDescent="0.25">
      <c r="A30" s="253"/>
      <c r="B30" s="158"/>
      <c r="C30" s="158"/>
      <c r="D30" s="158"/>
      <c r="E30" s="158"/>
      <c r="F30" s="158"/>
      <c r="G30" s="158"/>
      <c r="H30" s="158"/>
      <c r="I30" s="386"/>
    </row>
    <row r="31" spans="1:9" s="272" customFormat="1" x14ac:dyDescent="0.25">
      <c r="A31" s="424" t="s">
        <v>42</v>
      </c>
      <c r="B31" s="246">
        <f>SUM(B26:B30)</f>
        <v>258000</v>
      </c>
      <c r="C31" s="246">
        <f>SUM(C25:C29)</f>
        <v>292287.375</v>
      </c>
      <c r="D31" s="246">
        <f>SUM(D25:D29)</f>
        <v>26883.72</v>
      </c>
      <c r="E31" s="246">
        <f>SUM(E25:E29)</f>
        <v>265403.65499999997</v>
      </c>
      <c r="F31" s="246">
        <f t="shared" ref="F31:G31" si="17">SUM(F25:F29)</f>
        <v>-102529.5</v>
      </c>
      <c r="G31" s="246">
        <f t="shared" si="17"/>
        <v>189757.875</v>
      </c>
      <c r="H31" s="246">
        <f>SUM(H25:H29)</f>
        <v>310555.3359375</v>
      </c>
      <c r="I31" s="246">
        <f>SUM(I25:I29)</f>
        <v>329965.04443359375</v>
      </c>
    </row>
    <row r="32" spans="1:9" s="272" customFormat="1" x14ac:dyDescent="0.25">
      <c r="A32" s="425"/>
      <c r="B32" s="158"/>
      <c r="C32" s="158"/>
      <c r="D32" s="158"/>
      <c r="E32" s="158"/>
      <c r="F32" s="158"/>
      <c r="G32" s="158"/>
      <c r="H32" s="158"/>
      <c r="I32" s="386">
        <f>H32*6.9%+H32</f>
        <v>0</v>
      </c>
    </row>
    <row r="33" spans="1:9" s="272" customFormat="1" ht="15.75" thickBot="1" x14ac:dyDescent="0.3">
      <c r="A33" s="426" t="s">
        <v>44</v>
      </c>
      <c r="B33" s="392">
        <f>B31+B23+B20+B17+B10</f>
        <v>2606104</v>
      </c>
      <c r="C33" s="392">
        <f>C31+C23+C20+C17+C10</f>
        <v>2854158.6</v>
      </c>
      <c r="D33" s="392">
        <f>D31+D23+D20+D17+D10</f>
        <v>993635.40999999992</v>
      </c>
      <c r="E33" s="392">
        <f>E31+E23+E20+E17+E10</f>
        <v>1860523.1900000002</v>
      </c>
      <c r="F33" s="392">
        <f t="shared" ref="F33:G33" si="18">F31+F23+F20+F17+F10</f>
        <v>-166171.5</v>
      </c>
      <c r="G33" s="392">
        <f t="shared" si="18"/>
        <v>2687987.1</v>
      </c>
      <c r="H33" s="392">
        <f>H31+H23+H20+H17+H10</f>
        <v>3032570.8125</v>
      </c>
      <c r="I33" s="393">
        <f>I31+I23+I20+I17+I10</f>
        <v>3222135.6719812499</v>
      </c>
    </row>
    <row r="34" spans="1:9" x14ac:dyDescent="0.25">
      <c r="B34" s="242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4" orientation="landscape" r:id="rId1"/>
  <headerFooter alignWithMargins="0">
    <oddFooter>&amp;A&amp;RPage &amp;P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pageSetUpPr fitToPage="1"/>
  </sheetPr>
  <dimension ref="A1:J40"/>
  <sheetViews>
    <sheetView view="pageBreakPreview" topLeftCell="A9" zoomScale="60" zoomScaleNormal="93" workbookViewId="0">
      <selection activeCell="F43" sqref="F43"/>
    </sheetView>
  </sheetViews>
  <sheetFormatPr defaultColWidth="9.28515625" defaultRowHeight="15" x14ac:dyDescent="0.25"/>
  <cols>
    <col min="1" max="1" width="32.28515625" style="352" customWidth="1"/>
    <col min="2" max="2" width="16.42578125" style="247" hidden="1" customWidth="1"/>
    <col min="3" max="7" width="16.42578125" style="247" customWidth="1"/>
    <col min="8" max="8" width="16.7109375" style="247" customWidth="1"/>
    <col min="9" max="9" width="15" style="352" customWidth="1"/>
    <col min="10" max="16384" width="9.28515625" style="352"/>
  </cols>
  <sheetData>
    <row r="1" spans="1:9" s="272" customFormat="1" ht="18.75" x14ac:dyDescent="0.3">
      <c r="A1" s="515" t="s">
        <v>845</v>
      </c>
      <c r="B1" s="243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36.7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09" t="s">
        <v>556</v>
      </c>
      <c r="I3" s="385" t="s">
        <v>644</v>
      </c>
    </row>
    <row r="4" spans="1:9" s="272" customFormat="1" x14ac:dyDescent="0.25">
      <c r="A4" s="253" t="s">
        <v>2</v>
      </c>
      <c r="B4" s="158">
        <v>6144889</v>
      </c>
      <c r="C4" s="158">
        <f>B4*6.25%+B4</f>
        <v>6528944.5625</v>
      </c>
      <c r="D4" s="239">
        <v>9547347</v>
      </c>
      <c r="E4" s="239">
        <f>C4-D4</f>
        <v>-3018402.4375</v>
      </c>
      <c r="F4" s="239">
        <v>0</v>
      </c>
      <c r="G4" s="158">
        <f>C4+F4</f>
        <v>6528944.5625</v>
      </c>
      <c r="H4" s="158">
        <f t="shared" ref="H4:H9" si="0">C4*6.25%+C4</f>
        <v>6937003.59765625</v>
      </c>
      <c r="I4" s="386">
        <f>H4*6.25%+H4</f>
        <v>7370566.3225097656</v>
      </c>
    </row>
    <row r="5" spans="1:9" s="272" customFormat="1" x14ac:dyDescent="0.25">
      <c r="A5" s="253" t="s">
        <v>3</v>
      </c>
      <c r="B5" s="158">
        <v>512074</v>
      </c>
      <c r="C5" s="158">
        <f t="shared" ref="C5:I9" si="1">B5*6.25%+B5</f>
        <v>544078.625</v>
      </c>
      <c r="D5" s="239">
        <v>268885</v>
      </c>
      <c r="E5" s="239">
        <f t="shared" ref="E5:E9" si="2">C5-D5</f>
        <v>275193.625</v>
      </c>
      <c r="F5" s="239">
        <v>0</v>
      </c>
      <c r="G5" s="158">
        <f t="shared" ref="G5:G9" si="3">C5+F5</f>
        <v>544078.625</v>
      </c>
      <c r="H5" s="158">
        <f t="shared" si="0"/>
        <v>578083.5390625</v>
      </c>
      <c r="I5" s="386">
        <f t="shared" si="1"/>
        <v>614213.76025390625</v>
      </c>
    </row>
    <row r="6" spans="1:9" s="272" customFormat="1" x14ac:dyDescent="0.25">
      <c r="A6" s="253" t="s">
        <v>4</v>
      </c>
      <c r="B6" s="158">
        <v>153600</v>
      </c>
      <c r="C6" s="158">
        <f t="shared" si="1"/>
        <v>163200</v>
      </c>
      <c r="D6" s="239">
        <v>30036</v>
      </c>
      <c r="E6" s="239">
        <f t="shared" si="2"/>
        <v>133164</v>
      </c>
      <c r="F6" s="239">
        <v>-70000</v>
      </c>
      <c r="G6" s="158">
        <f t="shared" si="3"/>
        <v>93200</v>
      </c>
      <c r="H6" s="158">
        <f t="shared" si="0"/>
        <v>173400</v>
      </c>
      <c r="I6" s="386">
        <f t="shared" si="1"/>
        <v>184237.5</v>
      </c>
    </row>
    <row r="7" spans="1:9" s="272" customFormat="1" x14ac:dyDescent="0.25">
      <c r="A7" s="253" t="s">
        <v>432</v>
      </c>
      <c r="B7" s="158">
        <v>0</v>
      </c>
      <c r="C7" s="158">
        <f t="shared" si="1"/>
        <v>0</v>
      </c>
      <c r="D7" s="239"/>
      <c r="E7" s="239">
        <f t="shared" si="2"/>
        <v>0</v>
      </c>
      <c r="F7" s="239">
        <v>0</v>
      </c>
      <c r="G7" s="158">
        <f t="shared" si="3"/>
        <v>0</v>
      </c>
      <c r="H7" s="158">
        <f t="shared" si="0"/>
        <v>0</v>
      </c>
      <c r="I7" s="386">
        <f t="shared" si="1"/>
        <v>0</v>
      </c>
    </row>
    <row r="8" spans="1:9" s="272" customFormat="1" x14ac:dyDescent="0.25">
      <c r="A8" s="253" t="s">
        <v>173</v>
      </c>
      <c r="B8" s="158"/>
      <c r="C8" s="158">
        <v>428596</v>
      </c>
      <c r="D8" s="239">
        <v>128319</v>
      </c>
      <c r="E8" s="239">
        <f t="shared" si="2"/>
        <v>300277</v>
      </c>
      <c r="F8" s="239">
        <v>0</v>
      </c>
      <c r="G8" s="158">
        <f t="shared" si="3"/>
        <v>428596</v>
      </c>
      <c r="H8" s="158">
        <f t="shared" si="0"/>
        <v>455383.25</v>
      </c>
      <c r="I8" s="386">
        <f>H8*6.25%+H8</f>
        <v>483844.703125</v>
      </c>
    </row>
    <row r="9" spans="1:9" s="272" customFormat="1" x14ac:dyDescent="0.25">
      <c r="A9" s="253" t="s">
        <v>5</v>
      </c>
      <c r="B9" s="158">
        <v>1662935</v>
      </c>
      <c r="C9" s="158">
        <f t="shared" si="1"/>
        <v>1766868.4375</v>
      </c>
      <c r="D9" s="239">
        <v>1103130</v>
      </c>
      <c r="E9" s="239">
        <f t="shared" si="2"/>
        <v>663738.4375</v>
      </c>
      <c r="F9" s="239">
        <v>439392</v>
      </c>
      <c r="G9" s="158">
        <f t="shared" si="3"/>
        <v>2206260.4375</v>
      </c>
      <c r="H9" s="158">
        <f t="shared" si="0"/>
        <v>1877297.71484375</v>
      </c>
      <c r="I9" s="386">
        <f t="shared" si="1"/>
        <v>1994628.8220214844</v>
      </c>
    </row>
    <row r="10" spans="1:9" s="272" customFormat="1" x14ac:dyDescent="0.25">
      <c r="A10" s="424" t="s">
        <v>40</v>
      </c>
      <c r="B10" s="246">
        <f>SUM(B4:B9)</f>
        <v>8473498</v>
      </c>
      <c r="C10" s="246">
        <f>SUM(C4:C9)</f>
        <v>9431687.625</v>
      </c>
      <c r="D10" s="246">
        <f>SUM(D4:D9)</f>
        <v>11077717</v>
      </c>
      <c r="E10" s="246">
        <f>SUM(E4:E9)</f>
        <v>-1646029.375</v>
      </c>
      <c r="F10" s="246">
        <f t="shared" ref="F10:G10" si="4">SUM(F4:F9)</f>
        <v>369392</v>
      </c>
      <c r="G10" s="246">
        <f t="shared" si="4"/>
        <v>9801079.625</v>
      </c>
      <c r="H10" s="246">
        <f>SUM(H4:H9)</f>
        <v>10021168.1015625</v>
      </c>
      <c r="I10" s="387">
        <f>SUM(I4:I9)</f>
        <v>10647491.107910156</v>
      </c>
    </row>
    <row r="11" spans="1:9" s="272" customFormat="1" x14ac:dyDescent="0.25">
      <c r="A11" s="253"/>
      <c r="B11" s="246"/>
      <c r="C11" s="158"/>
      <c r="D11" s="239"/>
      <c r="E11" s="239"/>
      <c r="F11" s="239"/>
      <c r="G11" s="239"/>
      <c r="H11" s="239"/>
      <c r="I11" s="386">
        <f>H11*6.9%+H11</f>
        <v>0</v>
      </c>
    </row>
    <row r="12" spans="1:9" s="272" customFormat="1" x14ac:dyDescent="0.25">
      <c r="A12" s="253" t="s">
        <v>6</v>
      </c>
      <c r="B12" s="158">
        <v>743232</v>
      </c>
      <c r="C12" s="158">
        <f>B12*6.25%+B12</f>
        <v>789684</v>
      </c>
      <c r="D12" s="239">
        <v>218522</v>
      </c>
      <c r="E12" s="239">
        <f t="shared" ref="E12:E15" si="5">C12-D12</f>
        <v>571162</v>
      </c>
      <c r="F12" s="239">
        <v>0</v>
      </c>
      <c r="G12" s="158">
        <f t="shared" ref="G12:G16" si="6">C12+F12</f>
        <v>789684</v>
      </c>
      <c r="H12" s="158">
        <f>C12*6.25%+C12</f>
        <v>839039.25</v>
      </c>
      <c r="I12" s="386">
        <f>H12*6.25%+H12</f>
        <v>891479.203125</v>
      </c>
    </row>
    <row r="13" spans="1:9" s="272" customFormat="1" x14ac:dyDescent="0.25">
      <c r="A13" s="253" t="s">
        <v>7</v>
      </c>
      <c r="B13" s="158">
        <v>61449</v>
      </c>
      <c r="C13" s="158">
        <f t="shared" ref="C13:I14" si="7">B13*6.25%+B13</f>
        <v>65289.5625</v>
      </c>
      <c r="D13" s="239">
        <v>204326</v>
      </c>
      <c r="E13" s="239">
        <f t="shared" si="5"/>
        <v>-139036.4375</v>
      </c>
      <c r="F13" s="239">
        <v>180000</v>
      </c>
      <c r="G13" s="158">
        <f t="shared" si="6"/>
        <v>245289.5625</v>
      </c>
      <c r="H13" s="158">
        <f>C13*6.25%+C13</f>
        <v>69370.16015625</v>
      </c>
      <c r="I13" s="386">
        <f t="shared" si="7"/>
        <v>73705.795166015625</v>
      </c>
    </row>
    <row r="14" spans="1:9" s="272" customFormat="1" x14ac:dyDescent="0.25">
      <c r="A14" s="253" t="s">
        <v>53</v>
      </c>
      <c r="B14" s="158">
        <v>1351876</v>
      </c>
      <c r="C14" s="158">
        <f t="shared" si="7"/>
        <v>1436368.25</v>
      </c>
      <c r="D14" s="239">
        <v>570543</v>
      </c>
      <c r="E14" s="239">
        <f t="shared" si="5"/>
        <v>865825.25</v>
      </c>
      <c r="F14" s="239">
        <v>-200000</v>
      </c>
      <c r="G14" s="158">
        <f t="shared" si="6"/>
        <v>1236368.25</v>
      </c>
      <c r="H14" s="158">
        <f>C14*6.25%+C14</f>
        <v>1526141.265625</v>
      </c>
      <c r="I14" s="386">
        <f t="shared" si="7"/>
        <v>1621525.0947265625</v>
      </c>
    </row>
    <row r="15" spans="1:9" s="93" customFormat="1" x14ac:dyDescent="0.25">
      <c r="A15" s="96" t="s">
        <v>440</v>
      </c>
      <c r="B15" s="91"/>
      <c r="C15" s="91">
        <v>27600</v>
      </c>
      <c r="D15" s="176"/>
      <c r="E15" s="239">
        <f t="shared" si="5"/>
        <v>27600</v>
      </c>
      <c r="F15" s="239">
        <v>-27600</v>
      </c>
      <c r="G15" s="158">
        <f t="shared" si="6"/>
        <v>0</v>
      </c>
      <c r="H15" s="91">
        <v>29504.400000000001</v>
      </c>
      <c r="I15" s="404">
        <v>31540.203600000001</v>
      </c>
    </row>
    <row r="16" spans="1:9" s="272" customFormat="1" x14ac:dyDescent="0.25">
      <c r="A16" s="785" t="s">
        <v>872</v>
      </c>
      <c r="B16" s="158">
        <v>61449</v>
      </c>
      <c r="F16" s="272">
        <v>540</v>
      </c>
      <c r="G16" s="158">
        <f t="shared" si="6"/>
        <v>540</v>
      </c>
      <c r="H16" s="272">
        <v>0</v>
      </c>
      <c r="I16" s="272">
        <v>0</v>
      </c>
    </row>
    <row r="17" spans="1:10" s="272" customFormat="1" x14ac:dyDescent="0.25">
      <c r="A17" s="424" t="s">
        <v>41</v>
      </c>
      <c r="B17" s="246">
        <f>SUM(B12:B16)</f>
        <v>2218006</v>
      </c>
      <c r="C17" s="246">
        <f>SUM(C12:C16)</f>
        <v>2318941.8125</v>
      </c>
      <c r="D17" s="246">
        <f>SUM(D12:D16)</f>
        <v>993391</v>
      </c>
      <c r="E17" s="246">
        <f>SUM(E12:E16)</f>
        <v>1325550.8125</v>
      </c>
      <c r="F17" s="246">
        <f t="shared" ref="F17:G17" si="8">SUM(F12:F16)</f>
        <v>-47060</v>
      </c>
      <c r="G17" s="246">
        <f t="shared" si="8"/>
        <v>2271881.8125</v>
      </c>
      <c r="H17" s="246">
        <f>SUM(H12:H16)</f>
        <v>2464055.0757812499</v>
      </c>
      <c r="I17" s="246">
        <f>SUM(I12:I16)</f>
        <v>2618250.2966175782</v>
      </c>
    </row>
    <row r="18" spans="1:10" s="272" customFormat="1" x14ac:dyDescent="0.25">
      <c r="A18" s="253"/>
      <c r="B18" s="246"/>
      <c r="C18" s="158"/>
      <c r="D18" s="158"/>
      <c r="E18" s="158"/>
      <c r="F18" s="158"/>
      <c r="G18" s="158"/>
      <c r="H18" s="158"/>
      <c r="I18" s="158"/>
    </row>
    <row r="19" spans="1:10" x14ac:dyDescent="0.25">
      <c r="A19" s="553" t="s">
        <v>211</v>
      </c>
      <c r="B19" s="554">
        <v>43677</v>
      </c>
      <c r="C19" s="158">
        <f>B19*4.5%+B19</f>
        <v>45642.464999999997</v>
      </c>
      <c r="D19" s="239"/>
      <c r="E19" s="239">
        <f t="shared" ref="E19" si="9">C19-D19</f>
        <v>45642.464999999997</v>
      </c>
      <c r="F19" s="239">
        <v>0</v>
      </c>
      <c r="G19" s="158">
        <f t="shared" ref="G19" si="10">C19+F19</f>
        <v>45642.464999999997</v>
      </c>
      <c r="H19" s="555">
        <f>C19*6.25%+C19</f>
        <v>48495.119062499994</v>
      </c>
      <c r="I19" s="556">
        <f>H19*6.25%+H19</f>
        <v>51526.064003906242</v>
      </c>
    </row>
    <row r="20" spans="1:10" x14ac:dyDescent="0.25">
      <c r="A20" s="424" t="s">
        <v>211</v>
      </c>
      <c r="B20" s="246">
        <f>B19</f>
        <v>43677</v>
      </c>
      <c r="C20" s="246">
        <f>C19</f>
        <v>45642.464999999997</v>
      </c>
      <c r="D20" s="246">
        <f>D19</f>
        <v>0</v>
      </c>
      <c r="E20" s="246">
        <f>E19</f>
        <v>45642.464999999997</v>
      </c>
      <c r="F20" s="246">
        <f t="shared" ref="F20:G20" si="11">F19</f>
        <v>0</v>
      </c>
      <c r="G20" s="246">
        <f t="shared" si="11"/>
        <v>45642.464999999997</v>
      </c>
      <c r="H20" s="246">
        <f>H19</f>
        <v>48495.119062499994</v>
      </c>
      <c r="I20" s="387">
        <f>I19</f>
        <v>51526.064003906242</v>
      </c>
      <c r="J20" s="272"/>
    </row>
    <row r="21" spans="1:10" x14ac:dyDescent="0.25">
      <c r="A21" s="477"/>
      <c r="B21" s="246"/>
      <c r="C21" s="246"/>
      <c r="D21" s="246"/>
      <c r="E21" s="246"/>
      <c r="F21" s="246"/>
      <c r="G21" s="246"/>
      <c r="H21" s="246"/>
      <c r="I21" s="387"/>
      <c r="J21" s="272"/>
    </row>
    <row r="22" spans="1:10" x14ac:dyDescent="0.25">
      <c r="A22" s="253" t="s">
        <v>9</v>
      </c>
      <c r="B22" s="246"/>
      <c r="C22" s="158">
        <f>B16*6.25%+B16</f>
        <v>65289.5625</v>
      </c>
      <c r="D22" s="239">
        <v>40930</v>
      </c>
      <c r="E22" s="239">
        <f t="shared" ref="E22:E36" si="12">C22-D22</f>
        <v>24359.5625</v>
      </c>
      <c r="F22" s="239">
        <v>20000</v>
      </c>
      <c r="G22" s="158">
        <f t="shared" ref="G22:G36" si="13">C22+F22</f>
        <v>85289.5625</v>
      </c>
      <c r="H22" s="158">
        <f>C22*6.25%+C22</f>
        <v>69370.16015625</v>
      </c>
      <c r="I22" s="386">
        <f>H22*6.25%+H22</f>
        <v>73705.795166015625</v>
      </c>
      <c r="J22" s="272"/>
    </row>
    <row r="23" spans="1:10" s="252" customFormat="1" x14ac:dyDescent="0.25">
      <c r="A23" s="253" t="s">
        <v>394</v>
      </c>
      <c r="B23" s="254">
        <f>100000+50000+500000</f>
        <v>650000</v>
      </c>
      <c r="C23" s="254">
        <v>650000</v>
      </c>
      <c r="D23" s="335"/>
      <c r="E23" s="239">
        <f t="shared" si="12"/>
        <v>650000</v>
      </c>
      <c r="F23" s="239">
        <v>-350000</v>
      </c>
      <c r="G23" s="158">
        <f t="shared" si="13"/>
        <v>300000</v>
      </c>
      <c r="H23" s="254">
        <v>695000</v>
      </c>
      <c r="I23" s="386">
        <v>740000</v>
      </c>
    </row>
    <row r="24" spans="1:10" s="252" customFormat="1" x14ac:dyDescent="0.25">
      <c r="A24" s="271" t="s">
        <v>468</v>
      </c>
      <c r="B24" s="158">
        <v>1350000</v>
      </c>
      <c r="C24" s="158">
        <v>1400000</v>
      </c>
      <c r="D24" s="239"/>
      <c r="E24" s="239">
        <f t="shared" si="12"/>
        <v>1400000</v>
      </c>
      <c r="F24" s="239">
        <v>0</v>
      </c>
      <c r="G24" s="158">
        <f t="shared" si="13"/>
        <v>1400000</v>
      </c>
      <c r="H24" s="158">
        <v>1540000</v>
      </c>
      <c r="I24" s="386">
        <v>1694000</v>
      </c>
    </row>
    <row r="25" spans="1:10" s="272" customFormat="1" x14ac:dyDescent="0.25">
      <c r="A25" s="253" t="s">
        <v>59</v>
      </c>
      <c r="B25" s="158">
        <v>50000</v>
      </c>
      <c r="C25" s="158">
        <v>60000</v>
      </c>
      <c r="D25" s="239">
        <v>114850</v>
      </c>
      <c r="E25" s="239">
        <f t="shared" si="12"/>
        <v>-54850</v>
      </c>
      <c r="F25" s="239">
        <v>115000</v>
      </c>
      <c r="G25" s="158">
        <f t="shared" si="13"/>
        <v>175000</v>
      </c>
      <c r="H25" s="158">
        <v>66000</v>
      </c>
      <c r="I25" s="386">
        <v>72000</v>
      </c>
    </row>
    <row r="26" spans="1:10" s="272" customFormat="1" x14ac:dyDescent="0.25">
      <c r="A26" s="253" t="s">
        <v>812</v>
      </c>
      <c r="B26" s="158"/>
      <c r="C26" s="158">
        <v>0</v>
      </c>
      <c r="D26" s="239">
        <v>7344</v>
      </c>
      <c r="E26" s="239">
        <f t="shared" si="12"/>
        <v>-7344</v>
      </c>
      <c r="F26" s="239">
        <v>7500</v>
      </c>
      <c r="G26" s="158">
        <f t="shared" si="13"/>
        <v>7500</v>
      </c>
      <c r="H26" s="158"/>
      <c r="I26" s="386"/>
    </row>
    <row r="27" spans="1:10" s="252" customFormat="1" x14ac:dyDescent="0.25">
      <c r="A27" s="253" t="s">
        <v>51</v>
      </c>
      <c r="B27" s="254">
        <v>200000</v>
      </c>
      <c r="C27" s="254">
        <v>800000</v>
      </c>
      <c r="D27" s="335">
        <f>5140+343681</f>
        <v>348821</v>
      </c>
      <c r="E27" s="239">
        <f t="shared" si="12"/>
        <v>451179</v>
      </c>
      <c r="F27" s="239">
        <v>-50000</v>
      </c>
      <c r="G27" s="158">
        <f t="shared" si="13"/>
        <v>750000</v>
      </c>
      <c r="H27" s="254">
        <v>880000</v>
      </c>
      <c r="I27" s="386">
        <v>960000</v>
      </c>
    </row>
    <row r="28" spans="1:10" s="252" customFormat="1" x14ac:dyDescent="0.25">
      <c r="A28" s="253" t="s">
        <v>58</v>
      </c>
      <c r="B28" s="254">
        <v>100000</v>
      </c>
      <c r="C28" s="158">
        <v>1100000</v>
      </c>
      <c r="D28" s="239">
        <v>434970.98</v>
      </c>
      <c r="E28" s="239">
        <f t="shared" si="12"/>
        <v>665029.02</v>
      </c>
      <c r="F28" s="239">
        <v>-100000</v>
      </c>
      <c r="G28" s="158">
        <f t="shared" si="13"/>
        <v>1000000</v>
      </c>
      <c r="H28" s="158">
        <v>990000</v>
      </c>
      <c r="I28" s="386">
        <v>1080000</v>
      </c>
    </row>
    <row r="29" spans="1:10" s="252" customFormat="1" x14ac:dyDescent="0.25">
      <c r="A29" s="253" t="s">
        <v>811</v>
      </c>
      <c r="B29" s="254"/>
      <c r="C29" s="158"/>
      <c r="D29" s="239">
        <v>23911</v>
      </c>
      <c r="E29" s="239">
        <f t="shared" si="12"/>
        <v>-23911</v>
      </c>
      <c r="F29" s="239">
        <v>50000</v>
      </c>
      <c r="G29" s="158">
        <f t="shared" si="13"/>
        <v>50000</v>
      </c>
      <c r="H29" s="158"/>
      <c r="I29" s="386"/>
    </row>
    <row r="30" spans="1:10" s="252" customFormat="1" x14ac:dyDescent="0.25">
      <c r="A30" s="253" t="s">
        <v>252</v>
      </c>
      <c r="B30" s="254">
        <v>150000</v>
      </c>
      <c r="C30" s="254">
        <v>350000</v>
      </c>
      <c r="D30" s="335">
        <v>25757</v>
      </c>
      <c r="E30" s="239">
        <f t="shared" si="12"/>
        <v>324243</v>
      </c>
      <c r="F30" s="239">
        <v>0</v>
      </c>
      <c r="G30" s="158">
        <f t="shared" si="13"/>
        <v>350000</v>
      </c>
      <c r="H30" s="254">
        <v>50000</v>
      </c>
      <c r="I30" s="386">
        <v>55000</v>
      </c>
    </row>
    <row r="31" spans="1:10" s="252" customFormat="1" x14ac:dyDescent="0.25">
      <c r="A31" s="253" t="s">
        <v>622</v>
      </c>
      <c r="B31" s="254">
        <v>50000</v>
      </c>
      <c r="C31" s="254">
        <v>50000</v>
      </c>
      <c r="D31" s="335"/>
      <c r="E31" s="239">
        <f t="shared" si="12"/>
        <v>50000</v>
      </c>
      <c r="F31" s="239">
        <v>0</v>
      </c>
      <c r="G31" s="158">
        <f t="shared" si="13"/>
        <v>50000</v>
      </c>
      <c r="H31" s="254">
        <v>55000</v>
      </c>
      <c r="I31" s="386">
        <v>60000</v>
      </c>
    </row>
    <row r="32" spans="1:10" s="252" customFormat="1" x14ac:dyDescent="0.25">
      <c r="A32" s="253" t="s">
        <v>34</v>
      </c>
      <c r="B32" s="254">
        <v>1200000</v>
      </c>
      <c r="C32" s="254">
        <v>1500000</v>
      </c>
      <c r="D32" s="335">
        <f>28685.6+478357</f>
        <v>507042.6</v>
      </c>
      <c r="E32" s="239">
        <f t="shared" si="12"/>
        <v>992957.4</v>
      </c>
      <c r="F32" s="879">
        <f>-1500000*0.5</f>
        <v>-750000</v>
      </c>
      <c r="G32" s="158">
        <f t="shared" si="13"/>
        <v>750000</v>
      </c>
      <c r="H32" s="254">
        <v>1650000</v>
      </c>
      <c r="I32" s="386">
        <v>1800000</v>
      </c>
    </row>
    <row r="33" spans="1:9" s="252" customFormat="1" x14ac:dyDescent="0.25">
      <c r="A33" s="271" t="s">
        <v>452</v>
      </c>
      <c r="B33" s="158">
        <v>10000</v>
      </c>
      <c r="C33" s="158">
        <v>800000</v>
      </c>
      <c r="D33" s="239"/>
      <c r="E33" s="239">
        <f t="shared" si="12"/>
        <v>800000</v>
      </c>
      <c r="F33" s="879">
        <v>-800000</v>
      </c>
      <c r="G33" s="158">
        <f t="shared" si="13"/>
        <v>0</v>
      </c>
      <c r="H33" s="158">
        <v>50000</v>
      </c>
      <c r="I33" s="386">
        <v>55000</v>
      </c>
    </row>
    <row r="34" spans="1:9" s="252" customFormat="1" x14ac:dyDescent="0.25">
      <c r="A34" s="271" t="s">
        <v>787</v>
      </c>
      <c r="B34" s="158"/>
      <c r="C34" s="158">
        <v>4500000</v>
      </c>
      <c r="D34" s="158">
        <f>921620.86+3384890</f>
        <v>4306510.8600000003</v>
      </c>
      <c r="E34" s="239">
        <f t="shared" si="12"/>
        <v>193489.13999999966</v>
      </c>
      <c r="F34" s="158">
        <v>1000000</v>
      </c>
      <c r="G34" s="158">
        <f t="shared" si="13"/>
        <v>5500000</v>
      </c>
      <c r="H34" s="158"/>
      <c r="I34" s="386"/>
    </row>
    <row r="35" spans="1:9" s="252" customFormat="1" x14ac:dyDescent="0.25">
      <c r="A35" s="271" t="s">
        <v>788</v>
      </c>
      <c r="B35" s="158"/>
      <c r="C35" s="158">
        <v>50000</v>
      </c>
      <c r="D35" s="158"/>
      <c r="E35" s="239">
        <f t="shared" si="12"/>
        <v>50000</v>
      </c>
      <c r="F35" s="158"/>
      <c r="G35" s="158">
        <f t="shared" si="13"/>
        <v>50000</v>
      </c>
      <c r="H35" s="158"/>
      <c r="I35" s="386"/>
    </row>
    <row r="36" spans="1:9" s="252" customFormat="1" x14ac:dyDescent="0.25">
      <c r="A36" s="253" t="s">
        <v>755</v>
      </c>
      <c r="B36" s="254">
        <v>50000</v>
      </c>
      <c r="C36" s="254">
        <v>400000</v>
      </c>
      <c r="D36" s="335">
        <f>13800+13900</f>
        <v>27700</v>
      </c>
      <c r="E36" s="239">
        <f t="shared" si="12"/>
        <v>372300</v>
      </c>
      <c r="F36" s="879">
        <v>-270000</v>
      </c>
      <c r="G36" s="158">
        <f t="shared" si="13"/>
        <v>130000</v>
      </c>
      <c r="H36" s="254">
        <v>660000</v>
      </c>
      <c r="I36" s="386">
        <v>720000</v>
      </c>
    </row>
    <row r="37" spans="1:9" s="272" customFormat="1" x14ac:dyDescent="0.25">
      <c r="A37" s="424" t="s">
        <v>42</v>
      </c>
      <c r="B37" s="246">
        <f>SUM(B23:B36)</f>
        <v>3810000</v>
      </c>
      <c r="C37" s="246">
        <f>SUM(C22:C36)</f>
        <v>11725289.5625</v>
      </c>
      <c r="D37" s="246">
        <f>SUM(D22:D36)</f>
        <v>5837837.4400000004</v>
      </c>
      <c r="E37" s="246">
        <f>SUM(E22:E36)</f>
        <v>5887452.1224999996</v>
      </c>
      <c r="F37" s="246">
        <f t="shared" ref="F37:G37" si="14">SUM(F22:F36)</f>
        <v>-1127500</v>
      </c>
      <c r="G37" s="246">
        <f t="shared" si="14"/>
        <v>10597789.5625</v>
      </c>
      <c r="H37" s="246">
        <f>SUM(H22:H36)</f>
        <v>6705370.16015625</v>
      </c>
      <c r="I37" s="246">
        <f>SUM(I22:I36)</f>
        <v>7309705.7951660156</v>
      </c>
    </row>
    <row r="38" spans="1:9" s="272" customFormat="1" x14ac:dyDescent="0.25">
      <c r="A38" s="425"/>
      <c r="B38" s="158"/>
      <c r="C38" s="158"/>
      <c r="D38" s="158"/>
      <c r="E38" s="158"/>
      <c r="F38" s="158"/>
      <c r="G38" s="158"/>
      <c r="H38" s="158"/>
      <c r="I38" s="386">
        <f>H38*6.9%+H38</f>
        <v>0</v>
      </c>
    </row>
    <row r="39" spans="1:9" s="272" customFormat="1" ht="15.75" thickBot="1" x14ac:dyDescent="0.3">
      <c r="A39" s="426" t="s">
        <v>44</v>
      </c>
      <c r="B39" s="392">
        <f>B37+B20+B17+B10</f>
        <v>14545181</v>
      </c>
      <c r="C39" s="392">
        <f>C37+C20+C17+C10</f>
        <v>23521561.465</v>
      </c>
      <c r="D39" s="392">
        <f>D37+D20+D17+D10</f>
        <v>17908945.440000001</v>
      </c>
      <c r="E39" s="392">
        <f>E37+E20+E17+E10</f>
        <v>5612616.0249999994</v>
      </c>
      <c r="F39" s="392">
        <f t="shared" ref="F39:G39" si="15">F37+F20+F17+F10</f>
        <v>-805168</v>
      </c>
      <c r="G39" s="392">
        <f t="shared" si="15"/>
        <v>22716393.465</v>
      </c>
      <c r="H39" s="392">
        <f>H37+H20+H17+H10</f>
        <v>19239088.4565625</v>
      </c>
      <c r="I39" s="392">
        <f>I37+I20+I17+I10</f>
        <v>20626973.263697654</v>
      </c>
    </row>
    <row r="40" spans="1:9" x14ac:dyDescent="0.25">
      <c r="H40" s="247" t="s">
        <v>162</v>
      </c>
    </row>
  </sheetData>
  <phoneticPr fontId="8" type="noConversion"/>
  <pageMargins left="0.74803149606299213" right="0.74803149606299213" top="0.98425196850393704" bottom="0.55118110236220474" header="0.51181102362204722" footer="0.51181102362204722"/>
  <pageSetup scale="82" orientation="landscape" r:id="rId1"/>
  <headerFooter alignWithMargins="0">
    <oddFooter>&amp;A&amp;RPage &amp;P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I42"/>
  <sheetViews>
    <sheetView view="pageBreakPreview" topLeftCell="A15" zoomScale="60" zoomScaleNormal="84" workbookViewId="0">
      <selection activeCell="G49" sqref="G49"/>
    </sheetView>
  </sheetViews>
  <sheetFormatPr defaultColWidth="9.28515625" defaultRowHeight="15" x14ac:dyDescent="0.25"/>
  <cols>
    <col min="1" max="1" width="54.140625" style="352" customWidth="1"/>
    <col min="2" max="2" width="16.7109375" style="247" hidden="1" customWidth="1"/>
    <col min="3" max="8" width="16.42578125" style="247" customWidth="1"/>
    <col min="9" max="9" width="13.42578125" style="352" customWidth="1"/>
    <col min="10" max="16384" width="9.28515625" style="352"/>
  </cols>
  <sheetData>
    <row r="1" spans="1:9" s="272" customFormat="1" ht="18.75" x14ac:dyDescent="0.3">
      <c r="A1" s="515" t="s">
        <v>486</v>
      </c>
      <c r="B1" s="243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604" t="s">
        <v>164</v>
      </c>
      <c r="G3" s="604" t="s">
        <v>789</v>
      </c>
      <c r="H3" s="384" t="s">
        <v>556</v>
      </c>
      <c r="I3" s="408" t="s">
        <v>644</v>
      </c>
    </row>
    <row r="4" spans="1:9" s="272" customFormat="1" x14ac:dyDescent="0.25">
      <c r="A4" s="253" t="s">
        <v>2</v>
      </c>
      <c r="B4" s="158">
        <v>9854553</v>
      </c>
      <c r="C4" s="158">
        <f>B4*6.25%+B4</f>
        <v>10470462.5625</v>
      </c>
      <c r="D4" s="239">
        <v>17140272</v>
      </c>
      <c r="E4" s="239">
        <f>C4-D4</f>
        <v>-6669809.4375</v>
      </c>
      <c r="F4" s="239">
        <v>0</v>
      </c>
      <c r="G4" s="158">
        <f>C4+F4</f>
        <v>10470462.5625</v>
      </c>
      <c r="H4" s="158">
        <f t="shared" ref="H4:H9" si="0">C4*6.25%+C4</f>
        <v>11124866.47265625</v>
      </c>
      <c r="I4" s="386">
        <f>H4*6.25%+H4</f>
        <v>11820170.627197266</v>
      </c>
    </row>
    <row r="5" spans="1:9" s="272" customFormat="1" x14ac:dyDescent="0.25">
      <c r="A5" s="253" t="s">
        <v>3</v>
      </c>
      <c r="B5" s="158">
        <v>821213</v>
      </c>
      <c r="C5" s="158">
        <f t="shared" ref="C5:I9" si="1">B5*6.25%+B5</f>
        <v>872538.8125</v>
      </c>
      <c r="D5" s="239">
        <v>89770</v>
      </c>
      <c r="E5" s="239">
        <f t="shared" ref="E5:E9" si="2">C5-D5</f>
        <v>782768.8125</v>
      </c>
      <c r="F5" s="239">
        <v>0</v>
      </c>
      <c r="G5" s="158">
        <f t="shared" ref="G5:G9" si="3">C5+F5</f>
        <v>872538.8125</v>
      </c>
      <c r="H5" s="158">
        <f t="shared" si="0"/>
        <v>927072.48828125</v>
      </c>
      <c r="I5" s="386">
        <f t="shared" si="1"/>
        <v>985014.51879882813</v>
      </c>
    </row>
    <row r="6" spans="1:9" s="272" customFormat="1" x14ac:dyDescent="0.25">
      <c r="A6" s="253" t="s">
        <v>17</v>
      </c>
      <c r="B6" s="158">
        <v>314286</v>
      </c>
      <c r="C6" s="158">
        <f t="shared" si="1"/>
        <v>333928.875</v>
      </c>
      <c r="D6" s="239">
        <v>10968</v>
      </c>
      <c r="E6" s="239">
        <f t="shared" si="2"/>
        <v>322960.875</v>
      </c>
      <c r="F6" s="239">
        <v>0</v>
      </c>
      <c r="G6" s="158">
        <f t="shared" si="3"/>
        <v>333928.875</v>
      </c>
      <c r="H6" s="158">
        <f t="shared" si="0"/>
        <v>354799.4296875</v>
      </c>
      <c r="I6" s="386">
        <f t="shared" si="1"/>
        <v>376974.39404296875</v>
      </c>
    </row>
    <row r="7" spans="1:9" s="272" customFormat="1" x14ac:dyDescent="0.25">
      <c r="A7" s="253" t="s">
        <v>4</v>
      </c>
      <c r="B7" s="158">
        <v>102228</v>
      </c>
      <c r="C7" s="158">
        <f t="shared" si="1"/>
        <v>108617.25</v>
      </c>
      <c r="D7" s="239">
        <v>14877.3</v>
      </c>
      <c r="E7" s="239">
        <f t="shared" si="2"/>
        <v>93739.95</v>
      </c>
      <c r="F7" s="239">
        <v>0</v>
      </c>
      <c r="G7" s="158">
        <f t="shared" si="3"/>
        <v>108617.25</v>
      </c>
      <c r="H7" s="158">
        <f t="shared" si="0"/>
        <v>115405.828125</v>
      </c>
      <c r="I7" s="386">
        <f t="shared" si="1"/>
        <v>122618.6923828125</v>
      </c>
    </row>
    <row r="8" spans="1:9" s="272" customFormat="1" x14ac:dyDescent="0.25">
      <c r="A8" s="253" t="s">
        <v>173</v>
      </c>
      <c r="B8" s="158"/>
      <c r="C8" s="158">
        <v>664107</v>
      </c>
      <c r="D8" s="239">
        <v>122087</v>
      </c>
      <c r="E8" s="239">
        <f t="shared" si="2"/>
        <v>542020</v>
      </c>
      <c r="F8" s="239">
        <v>0</v>
      </c>
      <c r="G8" s="158">
        <f t="shared" si="3"/>
        <v>664107</v>
      </c>
      <c r="H8" s="158">
        <f t="shared" si="0"/>
        <v>705613.6875</v>
      </c>
      <c r="I8" s="386">
        <f>H8*6.25%+H8</f>
        <v>749714.54296875</v>
      </c>
    </row>
    <row r="9" spans="1:9" s="272" customFormat="1" x14ac:dyDescent="0.25">
      <c r="A9" s="253" t="s">
        <v>5</v>
      </c>
      <c r="B9" s="158">
        <v>439097</v>
      </c>
      <c r="C9" s="158">
        <f t="shared" si="1"/>
        <v>466540.5625</v>
      </c>
      <c r="D9" s="239">
        <v>236136</v>
      </c>
      <c r="E9" s="239">
        <f t="shared" si="2"/>
        <v>230404.5625</v>
      </c>
      <c r="F9" s="239">
        <v>0</v>
      </c>
      <c r="G9" s="158">
        <f t="shared" si="3"/>
        <v>466540.5625</v>
      </c>
      <c r="H9" s="158">
        <f t="shared" si="0"/>
        <v>495699.34765625</v>
      </c>
      <c r="I9" s="386">
        <f t="shared" si="1"/>
        <v>526680.55688476563</v>
      </c>
    </row>
    <row r="10" spans="1:9" s="272" customFormat="1" x14ac:dyDescent="0.25">
      <c r="A10" s="424" t="s">
        <v>40</v>
      </c>
      <c r="B10" s="246">
        <f>SUM(B4:B9)</f>
        <v>11531377</v>
      </c>
      <c r="C10" s="246">
        <f>SUM(C4:C9)</f>
        <v>12916195.0625</v>
      </c>
      <c r="D10" s="246">
        <f>SUM(D4:D9)</f>
        <v>17614110.300000001</v>
      </c>
      <c r="E10" s="246">
        <f>SUM(E4:E9)</f>
        <v>-4697915.2374999998</v>
      </c>
      <c r="F10" s="246">
        <f t="shared" ref="F10:G10" si="4">SUM(F4:F9)</f>
        <v>0</v>
      </c>
      <c r="G10" s="246">
        <f t="shared" si="4"/>
        <v>12916195.0625</v>
      </c>
      <c r="H10" s="246">
        <f>SUM(H4:H9)</f>
        <v>13723457.25390625</v>
      </c>
      <c r="I10" s="387">
        <f>SUM(I4:I9)</f>
        <v>14581173.332275391</v>
      </c>
    </row>
    <row r="11" spans="1:9" s="272" customFormat="1" x14ac:dyDescent="0.25">
      <c r="A11" s="253"/>
      <c r="B11" s="158"/>
      <c r="C11" s="158"/>
      <c r="D11" s="158"/>
      <c r="E11" s="158"/>
      <c r="F11" s="158"/>
      <c r="G11" s="158"/>
      <c r="H11" s="158"/>
      <c r="I11" s="386">
        <f>H11*6.9%+H11</f>
        <v>0</v>
      </c>
    </row>
    <row r="12" spans="1:9" s="272" customFormat="1" x14ac:dyDescent="0.25">
      <c r="A12" s="253" t="s">
        <v>6</v>
      </c>
      <c r="B12" s="158">
        <v>2694216</v>
      </c>
      <c r="C12" s="158">
        <f>B12*6.25%+B12</f>
        <v>2862604.5</v>
      </c>
      <c r="D12" s="239">
        <v>133556.82</v>
      </c>
      <c r="E12" s="239">
        <f t="shared" ref="E12:E15" si="5">C12-D12</f>
        <v>2729047.68</v>
      </c>
      <c r="F12" s="239">
        <v>-2000000</v>
      </c>
      <c r="G12" s="158">
        <f t="shared" ref="G12:G16" si="6">C12+F12</f>
        <v>862604.5</v>
      </c>
      <c r="H12" s="158">
        <f>C12*6.25%+C12</f>
        <v>3041517.28125</v>
      </c>
      <c r="I12" s="386">
        <f>H12*6.25%+H12</f>
        <v>3231612.111328125</v>
      </c>
    </row>
    <row r="13" spans="1:9" s="272" customFormat="1" x14ac:dyDescent="0.25">
      <c r="A13" s="253" t="s">
        <v>7</v>
      </c>
      <c r="B13" s="158">
        <v>98546</v>
      </c>
      <c r="C13" s="158">
        <f t="shared" ref="C13:I14" si="7">B13*6.25%+B13</f>
        <v>104705.125</v>
      </c>
      <c r="D13" s="239">
        <v>8031</v>
      </c>
      <c r="E13" s="239">
        <f t="shared" si="5"/>
        <v>96674.125</v>
      </c>
      <c r="F13" s="239">
        <v>-30000</v>
      </c>
      <c r="G13" s="158">
        <f t="shared" si="6"/>
        <v>74705.125</v>
      </c>
      <c r="H13" s="158">
        <f>C13*6.25%+C13</f>
        <v>111249.1953125</v>
      </c>
      <c r="I13" s="386">
        <f t="shared" si="7"/>
        <v>118202.27001953125</v>
      </c>
    </row>
    <row r="14" spans="1:9" s="272" customFormat="1" x14ac:dyDescent="0.25">
      <c r="A14" s="253" t="s">
        <v>53</v>
      </c>
      <c r="B14" s="158">
        <v>2186002</v>
      </c>
      <c r="C14" s="158">
        <f t="shared" si="7"/>
        <v>2322627.125</v>
      </c>
      <c r="D14" s="239">
        <v>307137</v>
      </c>
      <c r="E14" s="239">
        <f t="shared" si="5"/>
        <v>2015490.125</v>
      </c>
      <c r="F14" s="239"/>
      <c r="G14" s="158">
        <f t="shared" si="6"/>
        <v>2322627.125</v>
      </c>
      <c r="H14" s="158">
        <f>C14*6.25%+C14</f>
        <v>2467791.3203125</v>
      </c>
      <c r="I14" s="386">
        <f t="shared" si="7"/>
        <v>2622028.2778320313</v>
      </c>
    </row>
    <row r="15" spans="1:9" s="93" customFormat="1" x14ac:dyDescent="0.25">
      <c r="A15" s="96" t="s">
        <v>417</v>
      </c>
      <c r="B15" s="91"/>
      <c r="C15" s="91">
        <v>21600</v>
      </c>
      <c r="D15" s="176"/>
      <c r="E15" s="239">
        <f t="shared" si="5"/>
        <v>21600</v>
      </c>
      <c r="F15" s="239">
        <v>-21600</v>
      </c>
      <c r="G15" s="158">
        <f t="shared" si="6"/>
        <v>0</v>
      </c>
      <c r="H15" s="91">
        <v>23090.400000000001</v>
      </c>
      <c r="I15" s="404">
        <v>24683.637600000002</v>
      </c>
    </row>
    <row r="16" spans="1:9" s="272" customFormat="1" x14ac:dyDescent="0.25">
      <c r="A16" s="785" t="s">
        <v>872</v>
      </c>
      <c r="C16" s="752"/>
      <c r="D16" s="752"/>
      <c r="E16" s="752"/>
      <c r="F16" s="752">
        <v>1620</v>
      </c>
      <c r="G16" s="158">
        <f t="shared" si="6"/>
        <v>1620</v>
      </c>
      <c r="H16" s="752"/>
      <c r="I16" s="752"/>
    </row>
    <row r="17" spans="1:9" s="272" customFormat="1" x14ac:dyDescent="0.25">
      <c r="A17" s="424" t="s">
        <v>41</v>
      </c>
      <c r="B17" s="246">
        <f ca="1">SUM(B12:B27)</f>
        <v>14916160</v>
      </c>
      <c r="C17" s="246">
        <f>SUM(C12:C16)</f>
        <v>5311536.75</v>
      </c>
      <c r="D17" s="246">
        <f t="shared" ref="D17:G17" si="8">SUM(D12:D16)</f>
        <v>448724.82</v>
      </c>
      <c r="E17" s="246">
        <f t="shared" si="8"/>
        <v>4862811.93</v>
      </c>
      <c r="F17" s="246">
        <f t="shared" si="8"/>
        <v>-2049980</v>
      </c>
      <c r="G17" s="246">
        <f t="shared" si="8"/>
        <v>3261556.75</v>
      </c>
      <c r="H17" s="246">
        <f>SUM(H12:H15)</f>
        <v>5643648.1968750004</v>
      </c>
      <c r="I17" s="246">
        <f>SUM(I12:I15)</f>
        <v>5996526.2967796875</v>
      </c>
    </row>
    <row r="18" spans="1:9" s="272" customFormat="1" x14ac:dyDescent="0.25">
      <c r="A18" s="477"/>
      <c r="B18" s="246"/>
      <c r="C18" s="246"/>
      <c r="D18" s="246"/>
      <c r="E18" s="246"/>
      <c r="F18" s="246"/>
      <c r="G18" s="246"/>
      <c r="H18" s="246"/>
      <c r="I18" s="246"/>
    </row>
    <row r="19" spans="1:9" x14ac:dyDescent="0.25">
      <c r="A19" s="253" t="s">
        <v>211</v>
      </c>
      <c r="B19" s="160">
        <v>330770</v>
      </c>
      <c r="C19" s="158">
        <f>B19*4.5%+B19</f>
        <v>345654.65</v>
      </c>
      <c r="D19" s="239"/>
      <c r="E19" s="239">
        <f t="shared" ref="E19" si="9">C19-D19</f>
        <v>345654.65</v>
      </c>
      <c r="F19" s="239">
        <v>0</v>
      </c>
      <c r="G19" s="158">
        <f t="shared" ref="G19" si="10">C19+F19</f>
        <v>345654.65</v>
      </c>
      <c r="H19" s="158">
        <f>C19*6.25%+C19</f>
        <v>367258.06562500005</v>
      </c>
      <c r="I19" s="386">
        <f>H19*6.25%+H19</f>
        <v>390211.69472656253</v>
      </c>
    </row>
    <row r="20" spans="1:9" x14ac:dyDescent="0.25">
      <c r="A20" s="424" t="s">
        <v>211</v>
      </c>
      <c r="B20" s="246">
        <f>B19</f>
        <v>330770</v>
      </c>
      <c r="C20" s="246">
        <f>C19</f>
        <v>345654.65</v>
      </c>
      <c r="D20" s="246">
        <f>D19</f>
        <v>0</v>
      </c>
      <c r="E20" s="246">
        <f>E19</f>
        <v>345654.65</v>
      </c>
      <c r="F20" s="246">
        <f t="shared" ref="F20:G20" si="11">F19</f>
        <v>0</v>
      </c>
      <c r="G20" s="246">
        <f t="shared" si="11"/>
        <v>345654.65</v>
      </c>
      <c r="H20" s="246">
        <f>H19</f>
        <v>367258.06562500005</v>
      </c>
      <c r="I20" s="387">
        <f>I19</f>
        <v>390211.69472656253</v>
      </c>
    </row>
    <row r="21" spans="1:9" x14ac:dyDescent="0.25">
      <c r="A21" s="477"/>
      <c r="B21" s="246"/>
      <c r="C21" s="246"/>
      <c r="D21" s="246"/>
      <c r="E21" s="246"/>
      <c r="F21" s="246"/>
      <c r="G21" s="246"/>
      <c r="H21" s="246"/>
      <c r="I21" s="386">
        <f>H21*6.9%+H21</f>
        <v>0</v>
      </c>
    </row>
    <row r="22" spans="1:9" s="272" customFormat="1" x14ac:dyDescent="0.25">
      <c r="A22" s="253" t="s">
        <v>292</v>
      </c>
      <c r="B22" s="158">
        <v>50000</v>
      </c>
      <c r="C22" s="158">
        <v>60000</v>
      </c>
      <c r="D22" s="239"/>
      <c r="E22" s="239"/>
      <c r="F22" s="239">
        <v>140000</v>
      </c>
      <c r="G22" s="158">
        <f t="shared" ref="G22:G23" si="12">C22+F22</f>
        <v>200000</v>
      </c>
      <c r="H22" s="158">
        <v>66000</v>
      </c>
      <c r="I22" s="386">
        <v>72000</v>
      </c>
    </row>
    <row r="23" spans="1:9" s="272" customFormat="1" x14ac:dyDescent="0.25">
      <c r="A23" s="253" t="s">
        <v>33</v>
      </c>
      <c r="B23" s="158">
        <f>5000000-3000000</f>
        <v>2000000</v>
      </c>
      <c r="C23" s="158">
        <v>5000000</v>
      </c>
      <c r="D23" s="239">
        <v>7733164</v>
      </c>
      <c r="E23" s="239">
        <f t="shared" ref="E23" si="13">C23-D23</f>
        <v>-2733164</v>
      </c>
      <c r="F23" s="239">
        <f>2800000+3000000</f>
        <v>5800000</v>
      </c>
      <c r="G23" s="158">
        <f t="shared" si="12"/>
        <v>10800000</v>
      </c>
      <c r="H23" s="158">
        <v>550000</v>
      </c>
      <c r="I23" s="386">
        <v>600000</v>
      </c>
    </row>
    <row r="24" spans="1:9" s="272" customFormat="1" x14ac:dyDescent="0.25">
      <c r="A24" s="424" t="s">
        <v>86</v>
      </c>
      <c r="B24" s="246">
        <f>SUM(B22:B23)</f>
        <v>2050000</v>
      </c>
      <c r="C24" s="246">
        <f>SUM(C22:C23)</f>
        <v>5060000</v>
      </c>
      <c r="D24" s="246">
        <f>SUM(D22:D23)</f>
        <v>7733164</v>
      </c>
      <c r="E24" s="246">
        <f>SUM(E22:E23)</f>
        <v>-2733164</v>
      </c>
      <c r="F24" s="246">
        <f t="shared" ref="F24:G24" si="14">SUM(F22:F23)</f>
        <v>5940000</v>
      </c>
      <c r="G24" s="246">
        <f t="shared" si="14"/>
        <v>11000000</v>
      </c>
      <c r="H24" s="246">
        <f>SUM(H22:H23)</f>
        <v>616000</v>
      </c>
      <c r="I24" s="387">
        <f>SUM(I22:I23)</f>
        <v>672000</v>
      </c>
    </row>
    <row r="25" spans="1:9" s="272" customFormat="1" x14ac:dyDescent="0.25">
      <c r="A25" s="253"/>
      <c r="B25" s="246"/>
      <c r="C25" s="246"/>
      <c r="D25" s="246"/>
      <c r="E25" s="246"/>
      <c r="F25" s="246"/>
      <c r="G25" s="246"/>
      <c r="H25" s="246"/>
      <c r="I25" s="387"/>
    </row>
    <row r="26" spans="1:9" s="272" customFormat="1" x14ac:dyDescent="0.25">
      <c r="A26" s="253"/>
      <c r="B26" s="246"/>
      <c r="C26" s="246"/>
      <c r="D26" s="246"/>
      <c r="E26" s="246"/>
      <c r="F26" s="246"/>
      <c r="G26" s="246"/>
      <c r="H26" s="246"/>
      <c r="I26" s="387"/>
    </row>
    <row r="27" spans="1:9" s="272" customFormat="1" x14ac:dyDescent="0.25">
      <c r="A27" s="253" t="s">
        <v>9</v>
      </c>
      <c r="B27" s="158">
        <v>98546</v>
      </c>
      <c r="C27" s="158">
        <f>B27*6.25%+B27</f>
        <v>104705.125</v>
      </c>
      <c r="D27" s="239">
        <v>12812</v>
      </c>
      <c r="E27" s="239">
        <f t="shared" ref="E27:E36" si="15">C27-D27</f>
        <v>91893.125</v>
      </c>
      <c r="F27" s="239">
        <v>-14705</v>
      </c>
      <c r="G27" s="158">
        <f t="shared" ref="G27:G36" si="16">C27+F27</f>
        <v>90000.125</v>
      </c>
      <c r="H27" s="158">
        <f>C27*6.25%+C27</f>
        <v>111249.1953125</v>
      </c>
      <c r="I27" s="386">
        <f>H27*6.25%+H27</f>
        <v>118202.27001953125</v>
      </c>
    </row>
    <row r="28" spans="1:9" s="252" customFormat="1" x14ac:dyDescent="0.25">
      <c r="A28" s="271" t="s">
        <v>57</v>
      </c>
      <c r="B28" s="158">
        <v>50000</v>
      </c>
      <c r="C28" s="158">
        <f t="shared" ref="C28:I29" si="17">B28*6.25%+B28</f>
        <v>53125</v>
      </c>
      <c r="D28" s="239">
        <f>46968+636200</f>
        <v>683168</v>
      </c>
      <c r="E28" s="239">
        <f t="shared" si="15"/>
        <v>-630043</v>
      </c>
      <c r="F28" s="239">
        <v>850000</v>
      </c>
      <c r="G28" s="158">
        <f t="shared" si="16"/>
        <v>903125</v>
      </c>
      <c r="H28" s="158">
        <f>C28*6.25%+C28</f>
        <v>56445.3125</v>
      </c>
      <c r="I28" s="386">
        <f t="shared" si="17"/>
        <v>59973.14453125</v>
      </c>
    </row>
    <row r="29" spans="1:9" s="272" customFormat="1" x14ac:dyDescent="0.25">
      <c r="A29" s="271" t="s">
        <v>51</v>
      </c>
      <c r="B29" s="158">
        <f>250000/2</f>
        <v>125000</v>
      </c>
      <c r="C29" s="158">
        <f t="shared" si="17"/>
        <v>132812.5</v>
      </c>
      <c r="D29" s="239">
        <v>14090</v>
      </c>
      <c r="E29" s="239">
        <f t="shared" si="15"/>
        <v>118722.5</v>
      </c>
      <c r="F29" s="239">
        <v>-32813</v>
      </c>
      <c r="G29" s="158">
        <f t="shared" si="16"/>
        <v>99999.5</v>
      </c>
      <c r="H29" s="158">
        <f>C29*6.25%+C29</f>
        <v>141113.28125</v>
      </c>
      <c r="I29" s="386">
        <f t="shared" si="17"/>
        <v>149932.861328125</v>
      </c>
    </row>
    <row r="30" spans="1:9" s="272" customFormat="1" x14ac:dyDescent="0.25">
      <c r="A30" s="271" t="s">
        <v>10</v>
      </c>
      <c r="B30" s="158">
        <v>350000</v>
      </c>
      <c r="C30" s="158">
        <v>700000</v>
      </c>
      <c r="D30" s="239">
        <v>248520</v>
      </c>
      <c r="E30" s="239">
        <f t="shared" si="15"/>
        <v>451480</v>
      </c>
      <c r="F30" s="239">
        <v>-300000</v>
      </c>
      <c r="G30" s="158">
        <f t="shared" si="16"/>
        <v>400000</v>
      </c>
      <c r="H30" s="158">
        <v>770000</v>
      </c>
      <c r="I30" s="386">
        <v>840000</v>
      </c>
    </row>
    <row r="31" spans="1:9" s="557" customFormat="1" x14ac:dyDescent="0.25">
      <c r="A31" s="271" t="s">
        <v>127</v>
      </c>
      <c r="B31" s="158">
        <f>1500000-500000-200000</f>
        <v>800000</v>
      </c>
      <c r="C31" s="158">
        <v>1000000</v>
      </c>
      <c r="D31" s="239"/>
      <c r="E31" s="239">
        <f t="shared" si="15"/>
        <v>1000000</v>
      </c>
      <c r="F31" s="239">
        <v>-800000</v>
      </c>
      <c r="G31" s="158">
        <f t="shared" si="16"/>
        <v>200000</v>
      </c>
      <c r="H31" s="158">
        <v>1100000</v>
      </c>
      <c r="I31" s="386">
        <v>1200000</v>
      </c>
    </row>
    <row r="32" spans="1:9" s="557" customFormat="1" x14ac:dyDescent="0.25">
      <c r="A32" s="253" t="s">
        <v>673</v>
      </c>
      <c r="B32" s="254">
        <f>1400000-400000</f>
        <v>1000000</v>
      </c>
      <c r="C32" s="254">
        <v>1305000</v>
      </c>
      <c r="D32" s="335"/>
      <c r="E32" s="239">
        <f t="shared" si="15"/>
        <v>1305000</v>
      </c>
      <c r="F32" s="335">
        <v>-1000000</v>
      </c>
      <c r="G32" s="158">
        <f t="shared" si="16"/>
        <v>305000</v>
      </c>
      <c r="H32" s="255">
        <v>220000</v>
      </c>
      <c r="I32" s="386">
        <v>240000</v>
      </c>
    </row>
    <row r="33" spans="1:9" s="252" customFormat="1" ht="17.25" customHeight="1" x14ac:dyDescent="0.25">
      <c r="A33" s="271" t="s">
        <v>801</v>
      </c>
      <c r="B33" s="158">
        <v>0</v>
      </c>
      <c r="C33" s="158">
        <v>0</v>
      </c>
      <c r="D33" s="158">
        <v>2972.04</v>
      </c>
      <c r="E33" s="239">
        <f t="shared" si="15"/>
        <v>-2972.04</v>
      </c>
      <c r="F33" s="158">
        <v>6500</v>
      </c>
      <c r="G33" s="158">
        <f t="shared" si="16"/>
        <v>6500</v>
      </c>
      <c r="H33" s="158">
        <v>0</v>
      </c>
      <c r="I33" s="386">
        <v>0</v>
      </c>
    </row>
    <row r="34" spans="1:9" s="252" customFormat="1" x14ac:dyDescent="0.25">
      <c r="A34" s="271" t="s">
        <v>759</v>
      </c>
      <c r="B34" s="158"/>
      <c r="C34" s="158">
        <v>1200000</v>
      </c>
      <c r="D34" s="239"/>
      <c r="E34" s="239">
        <f t="shared" si="15"/>
        <v>1200000</v>
      </c>
      <c r="F34" s="239">
        <v>-850000</v>
      </c>
      <c r="G34" s="158">
        <f t="shared" si="16"/>
        <v>350000</v>
      </c>
      <c r="H34" s="239">
        <v>0</v>
      </c>
      <c r="I34" s="386">
        <v>0</v>
      </c>
    </row>
    <row r="35" spans="1:9" s="252" customFormat="1" x14ac:dyDescent="0.25">
      <c r="A35" s="835" t="s">
        <v>672</v>
      </c>
      <c r="B35" s="158"/>
      <c r="C35" s="158">
        <v>500000</v>
      </c>
      <c r="D35" s="239"/>
      <c r="E35" s="239">
        <f t="shared" si="15"/>
        <v>500000</v>
      </c>
      <c r="F35" s="239">
        <v>0</v>
      </c>
      <c r="G35" s="158">
        <f t="shared" si="16"/>
        <v>500000</v>
      </c>
      <c r="H35" s="239">
        <v>550000</v>
      </c>
      <c r="I35" s="386">
        <v>600000</v>
      </c>
    </row>
    <row r="36" spans="1:9" s="252" customFormat="1" x14ac:dyDescent="0.25">
      <c r="A36" s="271" t="s">
        <v>674</v>
      </c>
      <c r="B36" s="158"/>
      <c r="C36" s="158">
        <v>2500000</v>
      </c>
      <c r="D36" s="239"/>
      <c r="E36" s="239">
        <f t="shared" si="15"/>
        <v>2500000</v>
      </c>
      <c r="F36" s="239">
        <v>-1000000</v>
      </c>
      <c r="G36" s="158">
        <f t="shared" si="16"/>
        <v>1500000</v>
      </c>
      <c r="H36" s="239">
        <v>1000000</v>
      </c>
      <c r="I36" s="386">
        <v>0</v>
      </c>
    </row>
    <row r="37" spans="1:9" s="272" customFormat="1" x14ac:dyDescent="0.25">
      <c r="A37" s="424" t="s">
        <v>42</v>
      </c>
      <c r="B37" s="246">
        <f>SUM(B28:B36)</f>
        <v>2325000</v>
      </c>
      <c r="C37" s="246">
        <f t="shared" ref="C37:I37" si="18">SUM(C27:C36)</f>
        <v>7495642.625</v>
      </c>
      <c r="D37" s="246">
        <f t="shared" si="18"/>
        <v>961562.04</v>
      </c>
      <c r="E37" s="246">
        <f t="shared" si="18"/>
        <v>6534080.585</v>
      </c>
      <c r="F37" s="246">
        <f t="shared" si="18"/>
        <v>-3141018</v>
      </c>
      <c r="G37" s="246">
        <f t="shared" si="18"/>
        <v>4354624.625</v>
      </c>
      <c r="H37" s="246">
        <f t="shared" si="18"/>
        <v>3948807.7890625</v>
      </c>
      <c r="I37" s="246">
        <f t="shared" si="18"/>
        <v>3208108.2758789063</v>
      </c>
    </row>
    <row r="38" spans="1:9" s="272" customFormat="1" x14ac:dyDescent="0.25">
      <c r="A38" s="425"/>
      <c r="B38" s="158"/>
      <c r="C38" s="158"/>
      <c r="D38" s="158"/>
      <c r="E38" s="158"/>
      <c r="F38" s="158"/>
      <c r="G38" s="158"/>
      <c r="H38" s="158"/>
      <c r="I38" s="386">
        <f>H38*6.9%+H38</f>
        <v>0</v>
      </c>
    </row>
    <row r="39" spans="1:9" s="272" customFormat="1" ht="15.75" thickBot="1" x14ac:dyDescent="0.3">
      <c r="A39" s="426" t="s">
        <v>44</v>
      </c>
      <c r="B39" s="392">
        <f t="shared" ref="B39:I39" ca="1" si="19">B10+B17+B20+B24+B37</f>
        <v>31153307</v>
      </c>
      <c r="C39" s="392">
        <f t="shared" si="19"/>
        <v>31129029.087499999</v>
      </c>
      <c r="D39" s="392">
        <f t="shared" si="19"/>
        <v>26757561.16</v>
      </c>
      <c r="E39" s="392">
        <f t="shared" si="19"/>
        <v>4311467.9275000002</v>
      </c>
      <c r="F39" s="392">
        <f t="shared" si="19"/>
        <v>749002</v>
      </c>
      <c r="G39" s="392">
        <f t="shared" si="19"/>
        <v>31878031.087499999</v>
      </c>
      <c r="H39" s="392">
        <f t="shared" si="19"/>
        <v>24299171.305468749</v>
      </c>
      <c r="I39" s="393">
        <f t="shared" si="19"/>
        <v>24848019.599660549</v>
      </c>
    </row>
    <row r="40" spans="1:9" s="272" customFormat="1" x14ac:dyDescent="0.25">
      <c r="B40" s="243"/>
      <c r="C40" s="243"/>
      <c r="D40" s="243"/>
      <c r="E40" s="243"/>
      <c r="F40" s="243"/>
      <c r="G40" s="243"/>
      <c r="H40" s="243"/>
    </row>
    <row r="41" spans="1:9" s="272" customFormat="1" x14ac:dyDescent="0.25">
      <c r="B41" s="243"/>
      <c r="C41" s="243"/>
      <c r="D41" s="243"/>
      <c r="E41" s="243"/>
      <c r="F41" s="243"/>
      <c r="G41" s="243"/>
      <c r="H41" s="243"/>
    </row>
    <row r="42" spans="1:9" s="272" customFormat="1" x14ac:dyDescent="0.25">
      <c r="B42" s="243"/>
      <c r="C42" s="243"/>
      <c r="D42" s="243"/>
      <c r="E42" s="243"/>
      <c r="F42" s="243"/>
      <c r="G42" s="243"/>
      <c r="H42" s="243"/>
    </row>
  </sheetData>
  <phoneticPr fontId="8" type="noConversion"/>
  <pageMargins left="0.74803149606299202" right="0.74803149606299202" top="0.98425196850393704" bottom="0.35433070866141703" header="0.511811023622047" footer="0.27559055118110198"/>
  <pageSetup scale="72" orientation="landscape" r:id="rId1"/>
  <headerFooter alignWithMargins="0">
    <oddFooter>&amp;A&amp;RPage &amp;P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28"/>
  <sheetViews>
    <sheetView view="pageBreakPreview" zoomScale="80" zoomScaleNormal="100" zoomScaleSheetLayoutView="80" workbookViewId="0">
      <selection activeCell="F34" sqref="F34"/>
    </sheetView>
  </sheetViews>
  <sheetFormatPr defaultColWidth="9.28515625" defaultRowHeight="15" x14ac:dyDescent="0.25"/>
  <cols>
    <col min="1" max="1" width="43.7109375" style="352" customWidth="1"/>
    <col min="2" max="2" width="15" style="247" hidden="1" customWidth="1"/>
    <col min="3" max="7" width="15" style="247" customWidth="1"/>
    <col min="8" max="8" width="15.7109375" style="247" customWidth="1"/>
    <col min="9" max="9" width="14.28515625" style="352" customWidth="1"/>
    <col min="10" max="16384" width="9.28515625" style="352"/>
  </cols>
  <sheetData>
    <row r="1" spans="1:9" s="272" customFormat="1" ht="18.75" x14ac:dyDescent="0.3">
      <c r="A1" s="515" t="s">
        <v>487</v>
      </c>
      <c r="B1" s="362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2" customHeight="1" thickBot="1" x14ac:dyDescent="0.3">
      <c r="A3" s="517" t="s">
        <v>39</v>
      </c>
      <c r="B3" s="558" t="s">
        <v>393</v>
      </c>
      <c r="C3" s="558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58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883069</v>
      </c>
      <c r="C4" s="158">
        <f>B4*6.25%+B4</f>
        <v>938260.8125</v>
      </c>
      <c r="D4" s="239">
        <v>343759</v>
      </c>
      <c r="E4" s="239">
        <f>C4-D4</f>
        <v>594501.8125</v>
      </c>
      <c r="F4" s="239">
        <v>0</v>
      </c>
      <c r="G4" s="158">
        <f>C4+F4</f>
        <v>938260.8125</v>
      </c>
      <c r="H4" s="158">
        <f>C4*6.25%+C4</f>
        <v>996902.11328125</v>
      </c>
      <c r="I4" s="386">
        <f>H4*6.25%+H4</f>
        <v>1059208.4953613281</v>
      </c>
    </row>
    <row r="5" spans="1:9" s="272" customFormat="1" x14ac:dyDescent="0.25">
      <c r="A5" s="253" t="s">
        <v>3</v>
      </c>
      <c r="B5" s="158">
        <v>0</v>
      </c>
      <c r="C5" s="158">
        <f t="shared" ref="C5:I8" si="0">B5*6.25%+B5</f>
        <v>0</v>
      </c>
      <c r="D5" s="239"/>
      <c r="E5" s="239">
        <f t="shared" ref="E5:E8" si="1">C5-D5</f>
        <v>0</v>
      </c>
      <c r="F5" s="239">
        <v>0</v>
      </c>
      <c r="G5" s="158">
        <f t="shared" ref="G5:G8" si="2">C5+F5</f>
        <v>0</v>
      </c>
      <c r="H5" s="158">
        <f>C5*6.25%+C5</f>
        <v>0</v>
      </c>
      <c r="I5" s="386">
        <f t="shared" si="0"/>
        <v>0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>
        <v>46975</v>
      </c>
      <c r="E6" s="239">
        <f t="shared" si="1"/>
        <v>-36775</v>
      </c>
      <c r="F6" s="239">
        <v>70000</v>
      </c>
      <c r="G6" s="158">
        <f t="shared" si="2"/>
        <v>80200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45770</v>
      </c>
      <c r="D7" s="239"/>
      <c r="E7" s="239">
        <f t="shared" si="1"/>
        <v>45770</v>
      </c>
      <c r="F7" s="239">
        <v>0</v>
      </c>
      <c r="G7" s="158">
        <f t="shared" si="2"/>
        <v>45770</v>
      </c>
      <c r="H7" s="158">
        <f>C7*6.25%+C7</f>
        <v>48630.625</v>
      </c>
      <c r="I7" s="386">
        <f>H7*6.25%+H7</f>
        <v>51670.0390625</v>
      </c>
    </row>
    <row r="8" spans="1:9" s="272" customFormat="1" x14ac:dyDescent="0.25">
      <c r="A8" s="253" t="s">
        <v>85</v>
      </c>
      <c r="B8" s="158">
        <v>233922</v>
      </c>
      <c r="C8" s="158">
        <f t="shared" si="0"/>
        <v>248542.125</v>
      </c>
      <c r="D8" s="239">
        <v>100000</v>
      </c>
      <c r="E8" s="239">
        <f t="shared" si="1"/>
        <v>148542.125</v>
      </c>
      <c r="F8" s="239">
        <v>0</v>
      </c>
      <c r="G8" s="158">
        <f t="shared" si="2"/>
        <v>248542.125</v>
      </c>
      <c r="H8" s="158">
        <f>C8*6.25%+C8</f>
        <v>264076.0078125</v>
      </c>
      <c r="I8" s="386">
        <f t="shared" si="0"/>
        <v>280580.75830078125</v>
      </c>
    </row>
    <row r="9" spans="1:9" s="272" customFormat="1" x14ac:dyDescent="0.25">
      <c r="A9" s="424" t="s">
        <v>40</v>
      </c>
      <c r="B9" s="246">
        <f>SUM(B4:B8)</f>
        <v>1126591</v>
      </c>
      <c r="C9" s="246">
        <f>SUM(C4:C8)</f>
        <v>1242772.9375</v>
      </c>
      <c r="D9" s="246">
        <f>SUM(D4:D8)</f>
        <v>490734</v>
      </c>
      <c r="E9" s="246">
        <f>SUM(E4:E8)</f>
        <v>752038.9375</v>
      </c>
      <c r="F9" s="246">
        <f t="shared" ref="F9:G9" si="3">SUM(F4:F8)</f>
        <v>70000</v>
      </c>
      <c r="G9" s="246">
        <f t="shared" si="3"/>
        <v>1312772.9375</v>
      </c>
      <c r="H9" s="246">
        <f>SUM(H4:H8)</f>
        <v>1320446.24609375</v>
      </c>
      <c r="I9" s="387">
        <f>SUM(I4:I8)</f>
        <v>1402974.1364746094</v>
      </c>
    </row>
    <row r="10" spans="1:9" s="272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272" customFormat="1" x14ac:dyDescent="0.25">
      <c r="A11" s="253" t="s">
        <v>7</v>
      </c>
      <c r="B11" s="158">
        <v>8831</v>
      </c>
      <c r="C11" s="158">
        <f>B11*6.25%+B11</f>
        <v>9382.9375</v>
      </c>
      <c r="D11" s="239"/>
      <c r="E11" s="239">
        <f t="shared" ref="E11:E13" si="4">C11-D11</f>
        <v>9382.9375</v>
      </c>
      <c r="F11" s="239">
        <v>0</v>
      </c>
      <c r="G11" s="158">
        <f t="shared" ref="G11:G13" si="5">C11+F11</f>
        <v>9382.9375</v>
      </c>
      <c r="H11" s="158">
        <f>C11*6.25%+C11</f>
        <v>9969.37109375</v>
      </c>
      <c r="I11" s="386">
        <f>H11*6.25%+H11</f>
        <v>10592.456787109375</v>
      </c>
    </row>
    <row r="12" spans="1:9" s="93" customFormat="1" x14ac:dyDescent="0.25">
      <c r="A12" s="96" t="s">
        <v>396</v>
      </c>
      <c r="B12" s="91"/>
      <c r="C12" s="91">
        <v>6600</v>
      </c>
      <c r="D12" s="176"/>
      <c r="E12" s="239">
        <f t="shared" si="4"/>
        <v>6600</v>
      </c>
      <c r="F12" s="239">
        <v>0</v>
      </c>
      <c r="G12" s="158">
        <f t="shared" si="5"/>
        <v>6600</v>
      </c>
      <c r="H12" s="91">
        <v>7055.4</v>
      </c>
      <c r="I12" s="404">
        <v>7542.2226000000001</v>
      </c>
    </row>
    <row r="13" spans="1:9" s="272" customFormat="1" x14ac:dyDescent="0.25">
      <c r="A13" s="785" t="s">
        <v>872</v>
      </c>
      <c r="E13" s="239">
        <f t="shared" si="4"/>
        <v>0</v>
      </c>
      <c r="F13" s="272">
        <v>108</v>
      </c>
      <c r="G13" s="158">
        <f t="shared" si="5"/>
        <v>108</v>
      </c>
    </row>
    <row r="14" spans="1:9" s="272" customFormat="1" x14ac:dyDescent="0.25">
      <c r="A14" s="424" t="s">
        <v>41</v>
      </c>
      <c r="B14" s="246">
        <f ca="1">SUM(B11:B20)</f>
        <v>42830</v>
      </c>
      <c r="C14" s="246">
        <f>SUM(C11:C13)</f>
        <v>15982.9375</v>
      </c>
      <c r="D14" s="246">
        <f>SUM(D11:D13)</f>
        <v>0</v>
      </c>
      <c r="E14" s="246">
        <f>SUM(E11:E13)</f>
        <v>15982.9375</v>
      </c>
      <c r="F14" s="246">
        <f t="shared" ref="F14:G14" si="6">SUM(F11:F13)</f>
        <v>108</v>
      </c>
      <c r="G14" s="246">
        <f t="shared" si="6"/>
        <v>16090.9375</v>
      </c>
      <c r="H14" s="246">
        <f>SUM(H11:H13)</f>
        <v>17024.771093750001</v>
      </c>
      <c r="I14" s="246">
        <f>SUM(I11:I13)</f>
        <v>18134.679387109376</v>
      </c>
    </row>
    <row r="15" spans="1:9" s="272" customFormat="1" x14ac:dyDescent="0.25">
      <c r="A15" s="253"/>
      <c r="B15" s="158"/>
      <c r="C15" s="158"/>
      <c r="D15" s="158"/>
      <c r="E15" s="158"/>
      <c r="F15" s="158"/>
      <c r="G15" s="158"/>
      <c r="H15" s="158"/>
      <c r="I15" s="158"/>
    </row>
    <row r="16" spans="1:9" x14ac:dyDescent="0.25">
      <c r="A16" s="253" t="s">
        <v>211</v>
      </c>
      <c r="B16" s="158">
        <v>3753</v>
      </c>
      <c r="C16" s="158">
        <f>B16*4.5%+B16</f>
        <v>3921.8850000000002</v>
      </c>
      <c r="D16" s="239"/>
      <c r="E16" s="239">
        <f t="shared" ref="E16" si="7">C16-D16</f>
        <v>3921.8850000000002</v>
      </c>
      <c r="F16" s="239">
        <v>0</v>
      </c>
      <c r="G16" s="158">
        <f t="shared" ref="G16" si="8">C16+F16</f>
        <v>3921.8850000000002</v>
      </c>
      <c r="H16" s="158">
        <f>C16*6.25%+C16</f>
        <v>4167.0028124999999</v>
      </c>
      <c r="I16" s="386">
        <f>H16*6.25%+H16</f>
        <v>4427.4404882812496</v>
      </c>
    </row>
    <row r="17" spans="1:9" x14ac:dyDescent="0.25">
      <c r="A17" s="424" t="s">
        <v>211</v>
      </c>
      <c r="B17" s="246">
        <f>B16</f>
        <v>3753</v>
      </c>
      <c r="C17" s="246">
        <f>C16</f>
        <v>3921.8850000000002</v>
      </c>
      <c r="D17" s="246">
        <f>D16</f>
        <v>0</v>
      </c>
      <c r="E17" s="246">
        <f>E16</f>
        <v>3921.8850000000002</v>
      </c>
      <c r="F17" s="246">
        <f t="shared" ref="F17:G17" si="9">F16</f>
        <v>0</v>
      </c>
      <c r="G17" s="246">
        <f t="shared" si="9"/>
        <v>3921.8850000000002</v>
      </c>
      <c r="H17" s="246">
        <f>H16</f>
        <v>4167.0028124999999</v>
      </c>
      <c r="I17" s="387">
        <f>I16</f>
        <v>4427.4404882812496</v>
      </c>
    </row>
    <row r="18" spans="1:9" x14ac:dyDescent="0.25">
      <c r="A18" s="477"/>
      <c r="B18" s="246"/>
      <c r="C18" s="246"/>
      <c r="D18" s="246"/>
      <c r="E18" s="246"/>
      <c r="F18" s="246"/>
      <c r="G18" s="246"/>
      <c r="H18" s="246"/>
      <c r="I18" s="387"/>
    </row>
    <row r="19" spans="1:9" x14ac:dyDescent="0.25">
      <c r="A19" s="477"/>
      <c r="B19" s="246"/>
      <c r="C19" s="246"/>
      <c r="D19" s="246"/>
      <c r="E19" s="246"/>
      <c r="F19" s="246"/>
      <c r="G19" s="246"/>
      <c r="H19" s="246"/>
      <c r="I19" s="387"/>
    </row>
    <row r="20" spans="1:9" x14ac:dyDescent="0.25">
      <c r="A20" s="253" t="s">
        <v>9</v>
      </c>
      <c r="B20" s="158">
        <v>8831</v>
      </c>
      <c r="C20" s="158">
        <f>B20*6.25%+B20</f>
        <v>9382.9375</v>
      </c>
      <c r="D20" s="239">
        <v>4307</v>
      </c>
      <c r="E20" s="239">
        <f t="shared" ref="E20:E24" si="10">C20-D20</f>
        <v>5075.9375</v>
      </c>
      <c r="F20" s="879">
        <v>-5076</v>
      </c>
      <c r="G20" s="158">
        <f t="shared" ref="G20:G24" si="11">C20+F20</f>
        <v>4306.9375</v>
      </c>
      <c r="H20" s="158">
        <f>C20*6.25%+C20</f>
        <v>9969.37109375</v>
      </c>
      <c r="I20" s="386">
        <f>H20*6.25%+H20</f>
        <v>10592.456787109375</v>
      </c>
    </row>
    <row r="21" spans="1:9" s="272" customFormat="1" x14ac:dyDescent="0.25">
      <c r="A21" s="253" t="s">
        <v>36</v>
      </c>
      <c r="B21" s="158">
        <v>9500000</v>
      </c>
      <c r="C21" s="158">
        <v>4500000</v>
      </c>
      <c r="D21" s="239">
        <v>10398639</v>
      </c>
      <c r="E21" s="239">
        <f t="shared" si="10"/>
        <v>-5898639</v>
      </c>
      <c r="F21" s="239">
        <v>8000000</v>
      </c>
      <c r="G21" s="158">
        <f t="shared" si="11"/>
        <v>12500000</v>
      </c>
      <c r="H21" s="158">
        <f>C21*6.25%+C21</f>
        <v>4781250</v>
      </c>
      <c r="I21" s="386">
        <f>H21*6.25%+H21</f>
        <v>5080078.125</v>
      </c>
    </row>
    <row r="22" spans="1:9" s="272" customFormat="1" x14ac:dyDescent="0.25">
      <c r="A22" s="253" t="s">
        <v>598</v>
      </c>
      <c r="B22" s="158">
        <f>950000-300000</f>
        <v>650000</v>
      </c>
      <c r="C22" s="158">
        <v>1000000</v>
      </c>
      <c r="D22" s="239"/>
      <c r="E22" s="239">
        <f t="shared" si="10"/>
        <v>1000000</v>
      </c>
      <c r="F22" s="879">
        <v>-400000</v>
      </c>
      <c r="G22" s="158">
        <f t="shared" si="11"/>
        <v>600000</v>
      </c>
      <c r="H22" s="158">
        <v>1000000</v>
      </c>
      <c r="I22" s="386">
        <f>H22*6.9%+H22</f>
        <v>1069000</v>
      </c>
    </row>
    <row r="23" spans="1:9" s="272" customFormat="1" x14ac:dyDescent="0.25">
      <c r="A23" s="253" t="s">
        <v>59</v>
      </c>
      <c r="B23" s="158">
        <v>50000</v>
      </c>
      <c r="C23" s="158">
        <f t="shared" ref="C23:I24" si="12">B23*6.25%+B23</f>
        <v>53125</v>
      </c>
      <c r="D23" s="239"/>
      <c r="E23" s="239">
        <f t="shared" si="10"/>
        <v>53125</v>
      </c>
      <c r="F23" s="239">
        <v>-40000</v>
      </c>
      <c r="G23" s="158">
        <f t="shared" si="11"/>
        <v>13125</v>
      </c>
      <c r="H23" s="158">
        <f>C23*6.25%+C23</f>
        <v>56445.3125</v>
      </c>
      <c r="I23" s="386">
        <f t="shared" si="12"/>
        <v>59973.14453125</v>
      </c>
    </row>
    <row r="24" spans="1:9" s="272" customFormat="1" x14ac:dyDescent="0.25">
      <c r="A24" s="253" t="s">
        <v>51</v>
      </c>
      <c r="B24" s="158">
        <f>100000/2</f>
        <v>50000</v>
      </c>
      <c r="C24" s="158">
        <f t="shared" si="12"/>
        <v>53125</v>
      </c>
      <c r="D24" s="239"/>
      <c r="E24" s="239">
        <f t="shared" si="10"/>
        <v>53125</v>
      </c>
      <c r="F24" s="239">
        <v>0</v>
      </c>
      <c r="G24" s="158">
        <f t="shared" si="11"/>
        <v>53125</v>
      </c>
      <c r="H24" s="158">
        <f>C24*6.25%+C24</f>
        <v>56445.3125</v>
      </c>
      <c r="I24" s="386">
        <f t="shared" si="12"/>
        <v>59973.14453125</v>
      </c>
    </row>
    <row r="25" spans="1:9" s="272" customFormat="1" hidden="1" x14ac:dyDescent="0.25">
      <c r="A25" s="253" t="s">
        <v>397</v>
      </c>
      <c r="B25" s="158"/>
      <c r="C25" s="158">
        <f>B25*5.4%+B25</f>
        <v>0</v>
      </c>
      <c r="D25" s="158"/>
      <c r="E25" s="158"/>
      <c r="F25" s="158"/>
      <c r="G25" s="158"/>
      <c r="H25" s="158">
        <f>C25*5.4%+C25</f>
        <v>0</v>
      </c>
      <c r="I25" s="386">
        <f>H25*6.9%+H25</f>
        <v>0</v>
      </c>
    </row>
    <row r="26" spans="1:9" s="272" customFormat="1" x14ac:dyDescent="0.25">
      <c r="A26" s="424" t="s">
        <v>42</v>
      </c>
      <c r="B26" s="246">
        <f>SUM(B21:B25)</f>
        <v>10250000</v>
      </c>
      <c r="C26" s="246">
        <f>SUM(C20:C24)</f>
        <v>5615632.9375</v>
      </c>
      <c r="D26" s="246">
        <f>SUM(D20:D24)</f>
        <v>10402946</v>
      </c>
      <c r="E26" s="246">
        <f>SUM(E20:E24)</f>
        <v>-4787313.0625</v>
      </c>
      <c r="F26" s="246">
        <f t="shared" ref="F26:G26" si="13">SUM(F20:F24)</f>
        <v>7554924</v>
      </c>
      <c r="G26" s="246">
        <f t="shared" si="13"/>
        <v>13170556.9375</v>
      </c>
      <c r="H26" s="246">
        <f>SUM(H20:H24)</f>
        <v>5904109.99609375</v>
      </c>
      <c r="I26" s="246">
        <f>SUM(I20:I24)</f>
        <v>6279616.8708496094</v>
      </c>
    </row>
    <row r="27" spans="1:9" s="272" customFormat="1" x14ac:dyDescent="0.25">
      <c r="A27" s="425"/>
      <c r="B27" s="158"/>
      <c r="C27" s="158"/>
      <c r="D27" s="158"/>
      <c r="E27" s="158"/>
      <c r="F27" s="158"/>
      <c r="G27" s="158"/>
      <c r="H27" s="158"/>
      <c r="I27" s="386"/>
    </row>
    <row r="28" spans="1:9" s="272" customFormat="1" ht="15.75" thickBot="1" x14ac:dyDescent="0.3">
      <c r="A28" s="426" t="s">
        <v>44</v>
      </c>
      <c r="B28" s="392">
        <f ca="1">B26+B17+B14+B9</f>
        <v>11423174</v>
      </c>
      <c r="C28" s="392">
        <f>C26+C17+C14+C9</f>
        <v>6878310.6974999998</v>
      </c>
      <c r="D28" s="392">
        <f>D26+D17+D14+D9</f>
        <v>10893680</v>
      </c>
      <c r="E28" s="392">
        <f>E26+E17+E14+E9</f>
        <v>-4015369.3025000002</v>
      </c>
      <c r="F28" s="392">
        <f t="shared" ref="F28:G28" si="14">F26+F17+F14+F9</f>
        <v>7625032</v>
      </c>
      <c r="G28" s="392">
        <f t="shared" si="14"/>
        <v>14503342.6975</v>
      </c>
      <c r="H28" s="392">
        <f>H26+H17+H14+H9</f>
        <v>7245748.0160937505</v>
      </c>
      <c r="I28" s="393">
        <f>I26+I17+I14+I9</f>
        <v>7705153.1271996098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1" orientation="landscape" r:id="rId1"/>
  <headerFooter alignWithMargins="0">
    <oddFooter>&amp;A&amp;RPage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fitToPage="1"/>
  </sheetPr>
  <dimension ref="A1:I43"/>
  <sheetViews>
    <sheetView view="pageBreakPreview" topLeftCell="A27" zoomScaleNormal="90" zoomScaleSheetLayoutView="100" workbookViewId="0">
      <selection activeCell="F41" sqref="F41"/>
    </sheetView>
  </sheetViews>
  <sheetFormatPr defaultColWidth="9.28515625" defaultRowHeight="15" x14ac:dyDescent="0.25"/>
  <cols>
    <col min="1" max="1" width="29.7109375" style="352" customWidth="1"/>
    <col min="2" max="2" width="14.42578125" style="352" hidden="1" customWidth="1"/>
    <col min="3" max="7" width="17.42578125" style="352" customWidth="1"/>
    <col min="8" max="8" width="18.28515625" style="352" customWidth="1"/>
    <col min="9" max="9" width="14.42578125" style="352" customWidth="1"/>
    <col min="10" max="16384" width="9.28515625" style="352"/>
  </cols>
  <sheetData>
    <row r="1" spans="1:9" s="272" customFormat="1" x14ac:dyDescent="0.25">
      <c r="A1" s="721" t="s">
        <v>488</v>
      </c>
      <c r="B1" s="243"/>
      <c r="C1" s="243"/>
      <c r="D1" s="243"/>
      <c r="E1" s="243"/>
      <c r="F1" s="243"/>
      <c r="G1" s="243"/>
      <c r="H1" s="24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54.75" customHeight="1" thickBot="1" x14ac:dyDescent="0.3">
      <c r="A3" s="517" t="s">
        <v>39</v>
      </c>
      <c r="B3" s="415" t="s">
        <v>393</v>
      </c>
      <c r="C3" s="415" t="s">
        <v>442</v>
      </c>
      <c r="D3" s="611" t="s">
        <v>800</v>
      </c>
      <c r="E3" s="722" t="s">
        <v>87</v>
      </c>
      <c r="F3" s="415" t="s">
        <v>164</v>
      </c>
      <c r="G3" s="723" t="s">
        <v>789</v>
      </c>
      <c r="H3" s="415" t="s">
        <v>556</v>
      </c>
      <c r="I3" s="408" t="s">
        <v>644</v>
      </c>
    </row>
    <row r="4" spans="1:9" s="272" customFormat="1" x14ac:dyDescent="0.25">
      <c r="A4" s="253" t="s">
        <v>2</v>
      </c>
      <c r="B4" s="158">
        <v>1029705</v>
      </c>
      <c r="C4" s="158">
        <f>B4*6.25%+B4</f>
        <v>1094061.5625</v>
      </c>
      <c r="D4" s="239">
        <v>579847</v>
      </c>
      <c r="E4" s="239">
        <f>C4-D4</f>
        <v>514214.5625</v>
      </c>
      <c r="F4" s="239">
        <v>0</v>
      </c>
      <c r="G4" s="158">
        <f>C4+F4</f>
        <v>1094061.5625</v>
      </c>
      <c r="H4" s="158">
        <f>C4*6.25%+C4</f>
        <v>1162440.41015625</v>
      </c>
      <c r="I4" s="386">
        <f>H4*6.25%+H4</f>
        <v>1235092.9357910156</v>
      </c>
    </row>
    <row r="5" spans="1:9" s="272" customFormat="1" x14ac:dyDescent="0.25">
      <c r="A5" s="253" t="s">
        <v>3</v>
      </c>
      <c r="B5" s="158">
        <v>85809</v>
      </c>
      <c r="C5" s="158">
        <f t="shared" ref="C5:I8" si="0">B5*6.25%+B5</f>
        <v>91172.0625</v>
      </c>
      <c r="D5" s="239"/>
      <c r="E5" s="239">
        <f t="shared" ref="E5:E8" si="1">C5-D5</f>
        <v>91172.0625</v>
      </c>
      <c r="F5" s="239">
        <v>0</v>
      </c>
      <c r="G5" s="158">
        <f t="shared" ref="G5:G8" si="2">C5+F5</f>
        <v>91172.0625</v>
      </c>
      <c r="H5" s="158">
        <f>C5*6.25%+C5</f>
        <v>96870.31640625</v>
      </c>
      <c r="I5" s="386">
        <f t="shared" si="0"/>
        <v>102924.71118164063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>
        <v>11574</v>
      </c>
      <c r="E6" s="239">
        <f t="shared" si="1"/>
        <v>-1374</v>
      </c>
      <c r="F6" s="239">
        <v>11574</v>
      </c>
      <c r="G6" s="158">
        <f t="shared" si="2"/>
        <v>21774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75077</v>
      </c>
      <c r="D7" s="239"/>
      <c r="E7" s="239">
        <f t="shared" si="1"/>
        <v>75077</v>
      </c>
      <c r="F7" s="239">
        <v>0</v>
      </c>
      <c r="G7" s="158">
        <f t="shared" si="2"/>
        <v>75077</v>
      </c>
      <c r="H7" s="158">
        <f>C7*6.25%+C7</f>
        <v>79769.3125</v>
      </c>
      <c r="I7" s="386">
        <f>H7*6.25%+H7</f>
        <v>84754.89453125</v>
      </c>
    </row>
    <row r="8" spans="1:9" s="272" customFormat="1" x14ac:dyDescent="0.25">
      <c r="A8" s="253" t="s">
        <v>85</v>
      </c>
      <c r="B8" s="158">
        <v>400989</v>
      </c>
      <c r="C8" s="158">
        <f t="shared" si="0"/>
        <v>426050.8125</v>
      </c>
      <c r="D8" s="239">
        <v>215657</v>
      </c>
      <c r="E8" s="239">
        <f t="shared" si="1"/>
        <v>210393.8125</v>
      </c>
      <c r="F8" s="239">
        <v>0</v>
      </c>
      <c r="G8" s="158">
        <f t="shared" si="2"/>
        <v>426050.8125</v>
      </c>
      <c r="H8" s="158">
        <f>C8*6.25%+C8</f>
        <v>452678.98828125</v>
      </c>
      <c r="I8" s="386">
        <f t="shared" si="0"/>
        <v>480971.42504882813</v>
      </c>
    </row>
    <row r="9" spans="1:9" s="272" customFormat="1" x14ac:dyDescent="0.25">
      <c r="A9" s="424" t="s">
        <v>40</v>
      </c>
      <c r="B9" s="246">
        <f>SUM(B4:B8)</f>
        <v>1526103</v>
      </c>
      <c r="C9" s="246">
        <f>SUM(C4:C8)</f>
        <v>1696561.4375</v>
      </c>
      <c r="D9" s="246">
        <f>SUM(D4:D8)</f>
        <v>807078</v>
      </c>
      <c r="E9" s="246">
        <f>SUM(E4:E8)</f>
        <v>889483.4375</v>
      </c>
      <c r="F9" s="246">
        <f t="shared" ref="F9:G9" si="3">SUM(F4:F8)</f>
        <v>11574</v>
      </c>
      <c r="G9" s="246">
        <f t="shared" si="3"/>
        <v>1708135.4375</v>
      </c>
      <c r="H9" s="246">
        <f>SUM(H4:H8)</f>
        <v>1802596.52734375</v>
      </c>
      <c r="I9" s="387">
        <f>SUM(I4:I8)</f>
        <v>1915258.8103027344</v>
      </c>
    </row>
    <row r="10" spans="1:9" s="272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272" customFormat="1" x14ac:dyDescent="0.25">
      <c r="A11" s="253" t="s">
        <v>6</v>
      </c>
      <c r="B11" s="158">
        <v>92904</v>
      </c>
      <c r="C11" s="158">
        <f>B11*6.25%+B11</f>
        <v>98710.5</v>
      </c>
      <c r="D11" s="239">
        <v>43891</v>
      </c>
      <c r="E11" s="239">
        <f t="shared" ref="E11:E14" si="4">C11-D11</f>
        <v>54819.5</v>
      </c>
      <c r="F11" s="239">
        <v>-10000</v>
      </c>
      <c r="G11" s="158">
        <f t="shared" ref="G11:G15" si="5">C11+F11</f>
        <v>88710.5</v>
      </c>
      <c r="H11" s="158">
        <f>C11*6.25%+C11</f>
        <v>104879.90625</v>
      </c>
      <c r="I11" s="386">
        <f>H11*6.25%+H11</f>
        <v>111434.900390625</v>
      </c>
    </row>
    <row r="12" spans="1:9" s="272" customFormat="1" x14ac:dyDescent="0.25">
      <c r="A12" s="253" t="s">
        <v>7</v>
      </c>
      <c r="B12" s="158">
        <v>10297</v>
      </c>
      <c r="C12" s="158">
        <f t="shared" ref="C12:I13" si="6">B12*6.25%+B12</f>
        <v>10940.5625</v>
      </c>
      <c r="D12" s="239">
        <v>1785</v>
      </c>
      <c r="E12" s="239">
        <f t="shared" si="4"/>
        <v>9155.5625</v>
      </c>
      <c r="F12" s="239">
        <v>-6000</v>
      </c>
      <c r="G12" s="158">
        <f t="shared" si="5"/>
        <v>4940.5625</v>
      </c>
      <c r="H12" s="158">
        <f>C12*6.25%+C12</f>
        <v>11624.34765625</v>
      </c>
      <c r="I12" s="386">
        <f t="shared" si="6"/>
        <v>12350.869384765625</v>
      </c>
    </row>
    <row r="13" spans="1:9" s="272" customFormat="1" x14ac:dyDescent="0.25">
      <c r="A13" s="253" t="s">
        <v>8</v>
      </c>
      <c r="B13" s="158">
        <v>226535</v>
      </c>
      <c r="C13" s="158">
        <f t="shared" si="6"/>
        <v>240693.4375</v>
      </c>
      <c r="D13" s="239">
        <v>110483</v>
      </c>
      <c r="E13" s="239">
        <f t="shared" si="4"/>
        <v>130210.4375</v>
      </c>
      <c r="F13" s="239">
        <v>0</v>
      </c>
      <c r="G13" s="158">
        <f t="shared" si="5"/>
        <v>240693.4375</v>
      </c>
      <c r="H13" s="158">
        <f>C13*6.25%+C13</f>
        <v>255736.77734375</v>
      </c>
      <c r="I13" s="386">
        <f t="shared" si="6"/>
        <v>271720.32592773438</v>
      </c>
    </row>
    <row r="14" spans="1:9" s="93" customFormat="1" x14ac:dyDescent="0.25">
      <c r="A14" s="96" t="s">
        <v>396</v>
      </c>
      <c r="B14" s="91"/>
      <c r="C14" s="91">
        <v>10800</v>
      </c>
      <c r="D14" s="176"/>
      <c r="E14" s="239">
        <f t="shared" si="4"/>
        <v>10800</v>
      </c>
      <c r="F14" s="239">
        <v>-10800</v>
      </c>
      <c r="G14" s="158">
        <f t="shared" si="5"/>
        <v>0</v>
      </c>
      <c r="H14" s="91">
        <v>11545.2</v>
      </c>
      <c r="I14" s="404">
        <v>12341.818800000001</v>
      </c>
    </row>
    <row r="15" spans="1:9" s="272" customFormat="1" x14ac:dyDescent="0.25">
      <c r="A15" s="785" t="s">
        <v>872</v>
      </c>
      <c r="C15" s="272">
        <v>0</v>
      </c>
      <c r="D15" s="272">
        <v>0</v>
      </c>
      <c r="E15" s="272">
        <v>0</v>
      </c>
      <c r="F15" s="239">
        <v>54</v>
      </c>
      <c r="G15" s="158">
        <f t="shared" si="5"/>
        <v>54</v>
      </c>
    </row>
    <row r="16" spans="1:9" s="272" customFormat="1" x14ac:dyDescent="0.25">
      <c r="A16" s="424" t="s">
        <v>41</v>
      </c>
      <c r="B16" s="246">
        <f ca="1">SUM(B11:B31)</f>
        <v>11307496</v>
      </c>
      <c r="C16" s="246">
        <f>SUM(C11:C15)</f>
        <v>361144.5</v>
      </c>
      <c r="D16" s="246">
        <f>SUM(D11:D15)</f>
        <v>156159</v>
      </c>
      <c r="E16" s="246">
        <f>SUM(E11:E15)</f>
        <v>204985.5</v>
      </c>
      <c r="F16" s="246">
        <f t="shared" ref="F16:G16" si="7">SUM(F11:F15)</f>
        <v>-26746</v>
      </c>
      <c r="G16" s="246">
        <f t="shared" si="7"/>
        <v>334398.5</v>
      </c>
      <c r="H16" s="246">
        <f>SUM(H11:H15)</f>
        <v>383786.23125000001</v>
      </c>
      <c r="I16" s="246">
        <f>SUM(I11:I15)</f>
        <v>407847.91450312501</v>
      </c>
    </row>
    <row r="17" spans="1:9" s="272" customFormat="1" x14ac:dyDescent="0.25">
      <c r="A17" s="477"/>
      <c r="B17" s="246"/>
      <c r="C17" s="246"/>
      <c r="D17" s="246"/>
      <c r="E17" s="246"/>
      <c r="F17" s="246"/>
      <c r="G17" s="246"/>
      <c r="H17" s="246"/>
      <c r="I17" s="246"/>
    </row>
    <row r="18" spans="1:9" x14ac:dyDescent="0.25">
      <c r="A18" s="253" t="s">
        <v>211</v>
      </c>
      <c r="B18" s="160">
        <v>13715</v>
      </c>
      <c r="C18" s="158">
        <f>B18*4.5%+B18</f>
        <v>14332.174999999999</v>
      </c>
      <c r="D18" s="239"/>
      <c r="E18" s="239">
        <f t="shared" ref="E18" si="8">C18-D18</f>
        <v>14332.174999999999</v>
      </c>
      <c r="F18" s="239">
        <v>0</v>
      </c>
      <c r="G18" s="158">
        <f t="shared" ref="G18" si="9">C18+F18</f>
        <v>14332.174999999999</v>
      </c>
      <c r="H18" s="158">
        <f>C18*6.25%+C18</f>
        <v>15227.935937499999</v>
      </c>
      <c r="I18" s="386">
        <f>H18*6.25%+H18</f>
        <v>16179.681933593749</v>
      </c>
    </row>
    <row r="19" spans="1:9" x14ac:dyDescent="0.25">
      <c r="A19" s="424" t="s">
        <v>211</v>
      </c>
      <c r="B19" s="246">
        <f>B18</f>
        <v>13715</v>
      </c>
      <c r="C19" s="246">
        <f>C18</f>
        <v>14332.174999999999</v>
      </c>
      <c r="D19" s="246">
        <f>D18</f>
        <v>0</v>
      </c>
      <c r="E19" s="246">
        <f>E18</f>
        <v>14332.174999999999</v>
      </c>
      <c r="F19" s="246">
        <f t="shared" ref="F19:G19" si="10">F18</f>
        <v>0</v>
      </c>
      <c r="G19" s="246">
        <f t="shared" si="10"/>
        <v>14332.174999999999</v>
      </c>
      <c r="H19" s="246">
        <f>H18</f>
        <v>15227.935937499999</v>
      </c>
      <c r="I19" s="387">
        <f>I18</f>
        <v>16179.681933593749</v>
      </c>
    </row>
    <row r="20" spans="1:9" x14ac:dyDescent="0.25">
      <c r="A20" s="477"/>
      <c r="B20" s="246"/>
      <c r="C20" s="246"/>
      <c r="D20" s="246"/>
      <c r="E20" s="246"/>
      <c r="F20" s="246"/>
      <c r="G20" s="246"/>
      <c r="H20" s="246"/>
      <c r="I20" s="386">
        <f>H20*6.9%+H20</f>
        <v>0</v>
      </c>
    </row>
    <row r="21" spans="1:9" s="272" customFormat="1" x14ac:dyDescent="0.25">
      <c r="A21" s="253" t="s">
        <v>18</v>
      </c>
      <c r="B21" s="158">
        <v>150000</v>
      </c>
      <c r="C21" s="158">
        <f>B21*6.25%+B21</f>
        <v>159375</v>
      </c>
      <c r="D21" s="239"/>
      <c r="E21" s="239">
        <f t="shared" ref="E21:E24" si="11">C21-D21</f>
        <v>159375</v>
      </c>
      <c r="F21" s="239">
        <v>0</v>
      </c>
      <c r="G21" s="158">
        <f t="shared" ref="G21:G24" si="12">C21+F21</f>
        <v>159375</v>
      </c>
      <c r="H21" s="158">
        <f>C21*6.25%+C21</f>
        <v>169335.9375</v>
      </c>
      <c r="I21" s="386">
        <f>H21*6.25%+H21</f>
        <v>179919.43359375</v>
      </c>
    </row>
    <row r="22" spans="1:9" s="272" customFormat="1" x14ac:dyDescent="0.25">
      <c r="A22" s="253" t="s">
        <v>19</v>
      </c>
      <c r="B22" s="158">
        <v>50000</v>
      </c>
      <c r="C22" s="158">
        <f t="shared" ref="C22:I24" si="13">B22*6.25%+B22</f>
        <v>53125</v>
      </c>
      <c r="D22" s="239"/>
      <c r="E22" s="239">
        <f t="shared" si="11"/>
        <v>53125</v>
      </c>
      <c r="F22" s="239">
        <v>0</v>
      </c>
      <c r="G22" s="158">
        <f t="shared" si="12"/>
        <v>53125</v>
      </c>
      <c r="H22" s="158">
        <f>C22*6.25%+C22</f>
        <v>56445.3125</v>
      </c>
      <c r="I22" s="386">
        <f t="shared" si="13"/>
        <v>59973.14453125</v>
      </c>
    </row>
    <row r="23" spans="1:9" s="272" customFormat="1" x14ac:dyDescent="0.25">
      <c r="A23" s="253" t="s">
        <v>31</v>
      </c>
      <c r="B23" s="158"/>
      <c r="C23" s="158">
        <v>0</v>
      </c>
      <c r="D23" s="239">
        <v>37320</v>
      </c>
      <c r="E23" s="239">
        <f t="shared" si="11"/>
        <v>-37320</v>
      </c>
      <c r="F23" s="239">
        <v>38000</v>
      </c>
      <c r="G23" s="158">
        <f t="shared" si="12"/>
        <v>38000</v>
      </c>
      <c r="H23" s="158"/>
      <c r="I23" s="386"/>
    </row>
    <row r="24" spans="1:9" s="272" customFormat="1" x14ac:dyDescent="0.25">
      <c r="A24" s="253" t="s">
        <v>604</v>
      </c>
      <c r="B24" s="254">
        <v>100000</v>
      </c>
      <c r="C24" s="158">
        <f t="shared" si="13"/>
        <v>106250</v>
      </c>
      <c r="D24" s="239"/>
      <c r="E24" s="239">
        <f t="shared" si="11"/>
        <v>106250</v>
      </c>
      <c r="F24" s="239">
        <v>0</v>
      </c>
      <c r="G24" s="158">
        <f t="shared" si="12"/>
        <v>106250</v>
      </c>
      <c r="H24" s="158">
        <f>C24*6.25%+C24</f>
        <v>112890.625</v>
      </c>
      <c r="I24" s="386">
        <f t="shared" si="13"/>
        <v>119946.2890625</v>
      </c>
    </row>
    <row r="25" spans="1:9" s="479" customFormat="1" x14ac:dyDescent="0.25">
      <c r="A25" s="424" t="s">
        <v>43</v>
      </c>
      <c r="B25" s="246">
        <f>SUM(B21:B24)</f>
        <v>300000</v>
      </c>
      <c r="C25" s="246">
        <f>SUM(C21:C24)</f>
        <v>318750</v>
      </c>
      <c r="D25" s="246">
        <f>SUM(D21:D24)</f>
        <v>37320</v>
      </c>
      <c r="E25" s="246">
        <f>SUM(E21:E24)</f>
        <v>281430</v>
      </c>
      <c r="F25" s="246">
        <f t="shared" ref="F25:G25" si="14">SUM(F21:F24)</f>
        <v>38000</v>
      </c>
      <c r="G25" s="246">
        <f t="shared" si="14"/>
        <v>356750</v>
      </c>
      <c r="H25" s="246">
        <f>SUM(H21:H24)</f>
        <v>338671.875</v>
      </c>
      <c r="I25" s="387">
        <f>SUM(I21:I24)</f>
        <v>359838.8671875</v>
      </c>
    </row>
    <row r="26" spans="1:9" s="479" customFormat="1" x14ac:dyDescent="0.25">
      <c r="A26" s="477"/>
      <c r="B26" s="246"/>
      <c r="C26" s="246"/>
      <c r="D26" s="246"/>
      <c r="E26" s="246"/>
      <c r="F26" s="246"/>
      <c r="G26" s="246"/>
      <c r="H26" s="246"/>
      <c r="I26" s="386">
        <f>H26*6.9%+H26</f>
        <v>0</v>
      </c>
    </row>
    <row r="27" spans="1:9" s="272" customFormat="1" x14ac:dyDescent="0.25">
      <c r="A27" s="253" t="s">
        <v>21</v>
      </c>
      <c r="B27" s="158">
        <v>5000000</v>
      </c>
      <c r="C27" s="158">
        <v>0</v>
      </c>
      <c r="D27" s="158">
        <v>25120</v>
      </c>
      <c r="E27" s="239">
        <f t="shared" ref="E27" si="15">C27-D27</f>
        <v>-25120</v>
      </c>
      <c r="F27" s="158">
        <v>25120</v>
      </c>
      <c r="G27" s="158">
        <f t="shared" ref="G27" si="16">C27+F27</f>
        <v>25120</v>
      </c>
      <c r="H27" s="158">
        <v>0</v>
      </c>
      <c r="I27" s="386">
        <v>0</v>
      </c>
    </row>
    <row r="28" spans="1:9" s="479" customFormat="1" x14ac:dyDescent="0.25">
      <c r="A28" s="424" t="s">
        <v>69</v>
      </c>
      <c r="B28" s="246">
        <f>SUM(B27)</f>
        <v>5000000</v>
      </c>
      <c r="C28" s="246">
        <f>SUM(C27)</f>
        <v>0</v>
      </c>
      <c r="D28" s="246">
        <f t="shared" ref="D28:G28" si="17">SUM(D27)</f>
        <v>25120</v>
      </c>
      <c r="E28" s="246">
        <f t="shared" si="17"/>
        <v>-25120</v>
      </c>
      <c r="F28" s="246">
        <f t="shared" si="17"/>
        <v>25120</v>
      </c>
      <c r="G28" s="246">
        <f t="shared" si="17"/>
        <v>25120</v>
      </c>
      <c r="H28" s="246">
        <f>SUM(H27)</f>
        <v>0</v>
      </c>
      <c r="I28" s="387">
        <f>SUM(I27)</f>
        <v>0</v>
      </c>
    </row>
    <row r="29" spans="1:9" s="479" customFormat="1" x14ac:dyDescent="0.25">
      <c r="A29" s="477"/>
      <c r="B29" s="246"/>
      <c r="C29" s="246"/>
      <c r="D29" s="246"/>
      <c r="E29" s="246"/>
      <c r="F29" s="246"/>
      <c r="G29" s="246"/>
      <c r="H29" s="246"/>
      <c r="I29" s="387"/>
    </row>
    <row r="30" spans="1:9" s="479" customFormat="1" x14ac:dyDescent="0.25">
      <c r="A30" s="477"/>
      <c r="B30" s="246"/>
      <c r="C30" s="246"/>
      <c r="D30" s="246"/>
      <c r="E30" s="246"/>
      <c r="F30" s="246"/>
      <c r="G30" s="246"/>
      <c r="H30" s="246"/>
      <c r="I30" s="387"/>
    </row>
    <row r="31" spans="1:9" s="272" customFormat="1" x14ac:dyDescent="0.25">
      <c r="A31" s="253" t="s">
        <v>9</v>
      </c>
      <c r="B31" s="158">
        <v>10297</v>
      </c>
      <c r="C31" s="158">
        <f>B31*6.25%+B31</f>
        <v>10940.5625</v>
      </c>
      <c r="D31" s="239">
        <v>7790</v>
      </c>
      <c r="E31" s="239">
        <f t="shared" ref="E31:E40" si="18">C31-D31</f>
        <v>3150.5625</v>
      </c>
      <c r="F31" s="239"/>
      <c r="G31" s="158">
        <f t="shared" ref="G31:G40" si="19">C31+F31</f>
        <v>10940.5625</v>
      </c>
      <c r="H31" s="158">
        <f>C31*6.25%+C31</f>
        <v>11624.34765625</v>
      </c>
      <c r="I31" s="386">
        <f>H31*6.25%+H31</f>
        <v>12350.869384765625</v>
      </c>
    </row>
    <row r="32" spans="1:9" s="272" customFormat="1" x14ac:dyDescent="0.25">
      <c r="A32" s="253" t="s">
        <v>290</v>
      </c>
      <c r="B32" s="158">
        <v>1350000</v>
      </c>
      <c r="C32" s="158">
        <v>1500000</v>
      </c>
      <c r="D32" s="239"/>
      <c r="E32" s="239">
        <f t="shared" si="18"/>
        <v>1500000</v>
      </c>
      <c r="F32" s="239">
        <v>0</v>
      </c>
      <c r="G32" s="158">
        <f t="shared" si="19"/>
        <v>1500000</v>
      </c>
      <c r="H32" s="158">
        <v>1650000</v>
      </c>
      <c r="I32" s="386">
        <v>1800000</v>
      </c>
    </row>
    <row r="33" spans="1:9" s="272" customFormat="1" x14ac:dyDescent="0.25">
      <c r="A33" s="253" t="s">
        <v>761</v>
      </c>
      <c r="B33" s="527">
        <v>50000</v>
      </c>
      <c r="C33" s="158">
        <v>3500000</v>
      </c>
      <c r="D33" s="239"/>
      <c r="E33" s="239">
        <f t="shared" si="18"/>
        <v>3500000</v>
      </c>
      <c r="F33" s="879">
        <v>-2500000</v>
      </c>
      <c r="G33" s="158">
        <f t="shared" si="19"/>
        <v>1000000</v>
      </c>
      <c r="H33" s="158">
        <v>4500000</v>
      </c>
      <c r="I33" s="386">
        <v>5000000</v>
      </c>
    </row>
    <row r="34" spans="1:9" s="272" customFormat="1" x14ac:dyDescent="0.25">
      <c r="A34" s="253" t="s">
        <v>59</v>
      </c>
      <c r="B34" s="158">
        <v>50000</v>
      </c>
      <c r="C34" s="158">
        <f>B34*6.25%+B34</f>
        <v>53125</v>
      </c>
      <c r="D34" s="239">
        <v>0</v>
      </c>
      <c r="E34" s="239">
        <f t="shared" si="18"/>
        <v>53125</v>
      </c>
      <c r="F34" s="239">
        <v>0</v>
      </c>
      <c r="G34" s="158">
        <f t="shared" si="19"/>
        <v>53125</v>
      </c>
      <c r="H34" s="158">
        <f>C34*6.25%+C34</f>
        <v>56445.3125</v>
      </c>
      <c r="I34" s="386">
        <f>H34*6.25%+H34</f>
        <v>59973.14453125</v>
      </c>
    </row>
    <row r="35" spans="1:9" s="272" customFormat="1" x14ac:dyDescent="0.25">
      <c r="A35" s="253" t="s">
        <v>289</v>
      </c>
      <c r="B35" s="158">
        <v>2950000</v>
      </c>
      <c r="C35" s="158">
        <v>4000000</v>
      </c>
      <c r="D35" s="239">
        <f>8660.62+1800949</f>
        <v>1809609.62</v>
      </c>
      <c r="E35" s="239">
        <f t="shared" si="18"/>
        <v>2190390.38</v>
      </c>
      <c r="F35" s="239">
        <v>0</v>
      </c>
      <c r="G35" s="158">
        <f t="shared" si="19"/>
        <v>4000000</v>
      </c>
      <c r="H35" s="158">
        <v>5500000</v>
      </c>
      <c r="I35" s="386">
        <v>6000000</v>
      </c>
    </row>
    <row r="36" spans="1:9" s="272" customFormat="1" x14ac:dyDescent="0.25">
      <c r="A36" s="253" t="s">
        <v>51</v>
      </c>
      <c r="B36" s="158">
        <f>120000/2</f>
        <v>60000</v>
      </c>
      <c r="C36" s="158">
        <f>B36*6.25%+B36</f>
        <v>63750</v>
      </c>
      <c r="D36" s="239"/>
      <c r="E36" s="239">
        <f t="shared" si="18"/>
        <v>63750</v>
      </c>
      <c r="F36" s="239">
        <v>0</v>
      </c>
      <c r="G36" s="158">
        <f t="shared" si="19"/>
        <v>63750</v>
      </c>
      <c r="H36" s="158">
        <f>C36*6.25%+C36</f>
        <v>67734.375</v>
      </c>
      <c r="I36" s="386">
        <f>H36*6.25%+H36</f>
        <v>71967.7734375</v>
      </c>
    </row>
    <row r="37" spans="1:9" s="272" customFormat="1" x14ac:dyDescent="0.25">
      <c r="A37" s="253" t="s">
        <v>453</v>
      </c>
      <c r="B37" s="527">
        <v>500000</v>
      </c>
      <c r="C37" s="158">
        <v>2500000</v>
      </c>
      <c r="D37" s="239"/>
      <c r="E37" s="239">
        <f t="shared" si="18"/>
        <v>2500000</v>
      </c>
      <c r="F37" s="879">
        <v>-1500000</v>
      </c>
      <c r="G37" s="158">
        <f t="shared" si="19"/>
        <v>1000000</v>
      </c>
      <c r="H37" s="158">
        <v>2600000</v>
      </c>
      <c r="I37" s="386">
        <v>2700000</v>
      </c>
    </row>
    <row r="38" spans="1:9" s="754" customFormat="1" x14ac:dyDescent="0.25">
      <c r="A38" s="752" t="s">
        <v>887</v>
      </c>
      <c r="B38" s="527"/>
      <c r="C38" s="158">
        <v>0</v>
      </c>
      <c r="D38" s="239">
        <v>0</v>
      </c>
      <c r="E38" s="239">
        <f t="shared" si="18"/>
        <v>0</v>
      </c>
      <c r="F38" s="239">
        <v>145000</v>
      </c>
      <c r="G38" s="158">
        <f t="shared" si="19"/>
        <v>145000</v>
      </c>
      <c r="H38" s="158"/>
      <c r="I38" s="386"/>
    </row>
    <row r="39" spans="1:9" s="272" customFormat="1" x14ac:dyDescent="0.25">
      <c r="A39" s="253" t="s">
        <v>821</v>
      </c>
      <c r="B39" s="527"/>
      <c r="C39" s="158">
        <v>0</v>
      </c>
      <c r="D39" s="239">
        <v>359940</v>
      </c>
      <c r="E39" s="239">
        <f t="shared" si="18"/>
        <v>-359940</v>
      </c>
      <c r="F39" s="239">
        <v>360000</v>
      </c>
      <c r="G39" s="158">
        <f t="shared" si="19"/>
        <v>360000</v>
      </c>
      <c r="H39" s="158"/>
      <c r="I39" s="386"/>
    </row>
    <row r="40" spans="1:9" s="272" customFormat="1" x14ac:dyDescent="0.25">
      <c r="A40" s="253" t="s">
        <v>603</v>
      </c>
      <c r="B40" s="254">
        <f>4900000+2500000-2500000</f>
        <v>4900000</v>
      </c>
      <c r="C40" s="254">
        <v>3500000</v>
      </c>
      <c r="D40" s="335">
        <v>6968701</v>
      </c>
      <c r="E40" s="239">
        <f t="shared" si="18"/>
        <v>-3468701</v>
      </c>
      <c r="F40" s="239">
        <v>7000000</v>
      </c>
      <c r="G40" s="158">
        <f t="shared" si="19"/>
        <v>10500000</v>
      </c>
      <c r="H40" s="254">
        <v>2500000</v>
      </c>
      <c r="I40" s="386">
        <v>0</v>
      </c>
    </row>
    <row r="41" spans="1:9" s="272" customFormat="1" x14ac:dyDescent="0.25">
      <c r="A41" s="424" t="s">
        <v>42</v>
      </c>
      <c r="B41" s="246">
        <f>SUM(B32:B40)</f>
        <v>9860000</v>
      </c>
      <c r="C41" s="246">
        <f>SUM(C31:C40)</f>
        <v>15127815.5625</v>
      </c>
      <c r="D41" s="246">
        <f>SUM(D31:D40)</f>
        <v>9146040.620000001</v>
      </c>
      <c r="E41" s="246">
        <f>SUM(E31:E40)</f>
        <v>5981774.942499999</v>
      </c>
      <c r="F41" s="246">
        <f t="shared" ref="F41:G41" si="20">SUM(F31:F40)</f>
        <v>3505000</v>
      </c>
      <c r="G41" s="246">
        <f t="shared" si="20"/>
        <v>18632815.5625</v>
      </c>
      <c r="H41" s="246">
        <f>SUM(H31:H40)</f>
        <v>16885804.03515625</v>
      </c>
      <c r="I41" s="246">
        <f>SUM(I31:I40)</f>
        <v>15644291.787353516</v>
      </c>
    </row>
    <row r="42" spans="1:9" s="272" customFormat="1" x14ac:dyDescent="0.25">
      <c r="A42" s="253"/>
      <c r="B42" s="246"/>
      <c r="C42" s="246"/>
      <c r="D42" s="246"/>
      <c r="E42" s="246"/>
      <c r="F42" s="246"/>
      <c r="G42" s="246"/>
      <c r="H42" s="246"/>
      <c r="I42" s="387"/>
    </row>
    <row r="43" spans="1:9" s="272" customFormat="1" ht="15.75" thickBot="1" x14ac:dyDescent="0.3">
      <c r="A43" s="426" t="s">
        <v>44</v>
      </c>
      <c r="B43" s="392">
        <f ca="1">B9+B16+B19+B25+B28+B41</f>
        <v>28007314</v>
      </c>
      <c r="C43" s="392">
        <f>C9+C16+C19+C25+C41</f>
        <v>17518603.675000001</v>
      </c>
      <c r="D43" s="392">
        <f>D9+D16+D19+D25+D41</f>
        <v>10146597.620000001</v>
      </c>
      <c r="E43" s="392">
        <f>E9+E16+E19+E25+E41</f>
        <v>7372006.0549999988</v>
      </c>
      <c r="F43" s="392">
        <f t="shared" ref="F43:G43" si="21">F9+F16+F19+F25+F41</f>
        <v>3527828</v>
      </c>
      <c r="G43" s="392">
        <f t="shared" si="21"/>
        <v>21046431.675000001</v>
      </c>
      <c r="H43" s="392">
        <f>SUM(H41,H25,H19,H17)</f>
        <v>17239703.846093751</v>
      </c>
      <c r="I43" s="392">
        <f>SUM(I41,I25,I19,I17)</f>
        <v>16020310.336474609</v>
      </c>
    </row>
  </sheetData>
  <pageMargins left="0.70866141732283505" right="0.70866141732283505" top="0.74803149606299202" bottom="0.74803149606299202" header="0.31496062992126" footer="0.31496062992126"/>
  <pageSetup scale="72" orientation="landscape" r:id="rId1"/>
  <headerFooter>
    <oddFooter>&amp;C&amp;A&amp;RPage &amp;P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I12"/>
  <sheetViews>
    <sheetView view="pageBreakPreview" zoomScale="60" zoomScaleNormal="100" workbookViewId="0">
      <selection activeCell="F7" sqref="F7"/>
    </sheetView>
  </sheetViews>
  <sheetFormatPr defaultColWidth="9.28515625" defaultRowHeight="15" x14ac:dyDescent="0.25"/>
  <cols>
    <col min="1" max="1" width="28.28515625" style="97" customWidth="1"/>
    <col min="2" max="2" width="14.7109375" style="97" hidden="1" customWidth="1"/>
    <col min="3" max="7" width="15.42578125" style="97" customWidth="1"/>
    <col min="8" max="8" width="14.7109375" style="97" customWidth="1"/>
    <col min="9" max="9" width="16.7109375" style="97" customWidth="1"/>
    <col min="10" max="16384" width="9.28515625" style="97"/>
  </cols>
  <sheetData>
    <row r="1" spans="1:9" s="93" customFormat="1" x14ac:dyDescent="0.25">
      <c r="B1" s="151"/>
      <c r="C1" s="151"/>
      <c r="D1" s="151"/>
      <c r="E1" s="151"/>
      <c r="F1" s="151"/>
      <c r="G1" s="151"/>
      <c r="H1" s="151"/>
    </row>
    <row r="2" spans="1:9" s="93" customFormat="1" ht="18.75" x14ac:dyDescent="0.3">
      <c r="A2" s="142" t="s">
        <v>535</v>
      </c>
      <c r="B2" s="151"/>
      <c r="C2" s="151"/>
      <c r="D2" s="151"/>
      <c r="E2" s="151"/>
      <c r="F2" s="151"/>
      <c r="G2" s="151"/>
      <c r="H2" s="151"/>
    </row>
    <row r="3" spans="1:9" s="93" customFormat="1" ht="15.75" thickBot="1" x14ac:dyDescent="0.3">
      <c r="B3" s="151"/>
      <c r="C3" s="151"/>
      <c r="D3" s="151"/>
      <c r="E3" s="151"/>
      <c r="F3" s="151"/>
      <c r="G3" s="151"/>
      <c r="H3" s="151"/>
    </row>
    <row r="4" spans="1:9" s="93" customFormat="1" ht="38.25" customHeight="1" thickBot="1" x14ac:dyDescent="0.3">
      <c r="A4" s="228" t="s">
        <v>39</v>
      </c>
      <c r="B4" s="207" t="s">
        <v>393</v>
      </c>
      <c r="C4" s="605" t="s">
        <v>789</v>
      </c>
      <c r="D4" s="604" t="s">
        <v>800</v>
      </c>
      <c r="E4" s="715" t="s">
        <v>87</v>
      </c>
      <c r="F4" s="605" t="s">
        <v>164</v>
      </c>
      <c r="G4" s="605" t="s">
        <v>799</v>
      </c>
      <c r="H4" s="207" t="s">
        <v>556</v>
      </c>
      <c r="I4" s="348" t="s">
        <v>644</v>
      </c>
    </row>
    <row r="5" spans="1:9" s="93" customFormat="1" x14ac:dyDescent="0.25">
      <c r="A5" s="96"/>
      <c r="B5" s="91"/>
      <c r="C5" s="176"/>
      <c r="D5" s="176"/>
      <c r="E5" s="176"/>
      <c r="F5" s="176"/>
      <c r="G5" s="176"/>
      <c r="H5" s="91"/>
      <c r="I5" s="96"/>
    </row>
    <row r="6" spans="1:9" s="93" customFormat="1" x14ac:dyDescent="0.25">
      <c r="A6" s="96" t="s">
        <v>18</v>
      </c>
      <c r="B6" s="91">
        <f>1400000-800000</f>
        <v>600000</v>
      </c>
      <c r="C6" s="176">
        <v>0</v>
      </c>
      <c r="D6" s="176">
        <v>38173</v>
      </c>
      <c r="E6" s="176">
        <f>C6-D6</f>
        <v>-38173</v>
      </c>
      <c r="F6" s="724">
        <v>1200000</v>
      </c>
      <c r="G6" s="176">
        <f>C6+F6</f>
        <v>1200000</v>
      </c>
      <c r="H6" s="91">
        <f>C6*6.9%+C6</f>
        <v>0</v>
      </c>
      <c r="I6" s="91">
        <f>H6*6.9%+H6</f>
        <v>0</v>
      </c>
    </row>
    <row r="7" spans="1:9" s="93" customFormat="1" ht="12.75" customHeight="1" x14ac:dyDescent="0.25">
      <c r="A7" s="96" t="s">
        <v>618</v>
      </c>
      <c r="B7" s="91">
        <v>500000</v>
      </c>
      <c r="C7" s="176">
        <v>0</v>
      </c>
      <c r="D7" s="176"/>
      <c r="E7" s="176"/>
      <c r="F7" s="813">
        <v>600000</v>
      </c>
      <c r="G7" s="176">
        <f t="shared" ref="G7:G9" si="0">C7+F7</f>
        <v>600000</v>
      </c>
      <c r="H7" s="91">
        <v>0</v>
      </c>
      <c r="I7" s="96"/>
    </row>
    <row r="8" spans="1:9" s="93" customFormat="1" ht="18" customHeight="1" x14ac:dyDescent="0.25">
      <c r="A8" s="96" t="s">
        <v>454</v>
      </c>
      <c r="B8" s="91">
        <v>0</v>
      </c>
      <c r="C8" s="176">
        <v>0</v>
      </c>
      <c r="D8" s="176"/>
      <c r="E8" s="176"/>
      <c r="F8" s="813">
        <v>150000</v>
      </c>
      <c r="G8" s="176">
        <f t="shared" si="0"/>
        <v>150000</v>
      </c>
      <c r="H8" s="91">
        <v>0</v>
      </c>
      <c r="I8" s="96"/>
    </row>
    <row r="9" spans="1:9" s="93" customFormat="1" ht="13.5" customHeight="1" x14ac:dyDescent="0.25">
      <c r="A9" s="96" t="s">
        <v>888</v>
      </c>
      <c r="B9" s="91">
        <f>100000-50000</f>
        <v>50000</v>
      </c>
      <c r="C9" s="176">
        <v>0</v>
      </c>
      <c r="D9" s="176"/>
      <c r="E9" s="176"/>
      <c r="F9" s="813">
        <v>60000</v>
      </c>
      <c r="G9" s="176">
        <f t="shared" si="0"/>
        <v>60000</v>
      </c>
      <c r="H9" s="91">
        <v>0</v>
      </c>
      <c r="I9" s="96"/>
    </row>
    <row r="10" spans="1:9" x14ac:dyDescent="0.25">
      <c r="A10" s="139"/>
      <c r="B10" s="89">
        <f t="shared" ref="B10:H10" si="1">SUM(B6:B9)</f>
        <v>1150000</v>
      </c>
      <c r="C10" s="89">
        <f t="shared" si="1"/>
        <v>0</v>
      </c>
      <c r="D10" s="89">
        <f t="shared" si="1"/>
        <v>38173</v>
      </c>
      <c r="E10" s="89">
        <f t="shared" si="1"/>
        <v>-38173</v>
      </c>
      <c r="F10" s="89">
        <f t="shared" si="1"/>
        <v>2010000</v>
      </c>
      <c r="G10" s="89">
        <f t="shared" si="1"/>
        <v>2010000</v>
      </c>
      <c r="H10" s="89">
        <f t="shared" si="1"/>
        <v>0</v>
      </c>
      <c r="I10" s="96"/>
    </row>
    <row r="11" spans="1:9" x14ac:dyDescent="0.25">
      <c r="A11" s="139"/>
      <c r="B11" s="89"/>
      <c r="C11" s="209"/>
      <c r="D11" s="209"/>
      <c r="E11" s="209"/>
      <c r="F11" s="209"/>
      <c r="G11" s="209"/>
      <c r="H11" s="89"/>
      <c r="I11" s="96"/>
    </row>
    <row r="12" spans="1:9" x14ac:dyDescent="0.25">
      <c r="A12" s="139"/>
      <c r="B12" s="89">
        <f>B10</f>
        <v>1150000</v>
      </c>
      <c r="C12" s="209">
        <f>C10</f>
        <v>0</v>
      </c>
      <c r="D12" s="209">
        <f t="shared" ref="D12:G12" si="2">D10</f>
        <v>38173</v>
      </c>
      <c r="E12" s="209">
        <f t="shared" si="2"/>
        <v>-38173</v>
      </c>
      <c r="F12" s="209">
        <f t="shared" si="2"/>
        <v>2010000</v>
      </c>
      <c r="G12" s="209">
        <f t="shared" si="2"/>
        <v>2010000</v>
      </c>
      <c r="H12" s="89">
        <f>H10</f>
        <v>0</v>
      </c>
      <c r="I12" s="96"/>
    </row>
  </sheetData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&amp;A&amp;RPage &amp;P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O56"/>
  <sheetViews>
    <sheetView view="pageBreakPreview" zoomScale="60" zoomScaleNormal="100" workbookViewId="0">
      <selection activeCell="K4" sqref="K4"/>
    </sheetView>
  </sheetViews>
  <sheetFormatPr defaultColWidth="9.28515625" defaultRowHeight="15" x14ac:dyDescent="0.25"/>
  <cols>
    <col min="1" max="1" width="40.140625" style="352" customWidth="1"/>
    <col min="2" max="2" width="15.42578125" style="247" hidden="1" customWidth="1"/>
    <col min="3" max="8" width="19.28515625" style="247" customWidth="1"/>
    <col min="9" max="9" width="17" style="352" customWidth="1"/>
    <col min="10" max="11" width="9.28515625" style="352"/>
    <col min="12" max="12" width="25.85546875" style="352" hidden="1" customWidth="1"/>
    <col min="13" max="13" width="24.42578125" style="352" hidden="1" customWidth="1"/>
    <col min="14" max="14" width="20.42578125" style="352" hidden="1" customWidth="1"/>
    <col min="15" max="15" width="22.28515625" style="352" customWidth="1"/>
    <col min="16" max="16384" width="9.28515625" style="352"/>
  </cols>
  <sheetData>
    <row r="1" spans="1:14" s="272" customFormat="1" ht="18.75" x14ac:dyDescent="0.3">
      <c r="A1" s="515" t="s">
        <v>489</v>
      </c>
      <c r="B1" s="362"/>
      <c r="C1" s="362"/>
      <c r="D1" s="362"/>
      <c r="E1" s="362"/>
      <c r="F1" s="362"/>
      <c r="G1" s="362"/>
      <c r="H1" s="362"/>
    </row>
    <row r="2" spans="1:14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14" s="272" customFormat="1" ht="38.2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28" t="s">
        <v>644</v>
      </c>
    </row>
    <row r="4" spans="1:14" s="272" customFormat="1" x14ac:dyDescent="0.25">
      <c r="A4" s="253" t="s">
        <v>2</v>
      </c>
      <c r="B4" s="158">
        <v>4284007</v>
      </c>
      <c r="C4" s="158">
        <f>B4*6.25%+B4</f>
        <v>4551757.4375</v>
      </c>
      <c r="D4" s="239">
        <v>427799</v>
      </c>
      <c r="E4" s="239">
        <f>C4-D4</f>
        <v>4123958.4375</v>
      </c>
      <c r="F4" s="239">
        <v>-3500000</v>
      </c>
      <c r="G4" s="158">
        <f>C4+F4</f>
        <v>1051757.4375</v>
      </c>
      <c r="H4" s="158">
        <f>C4*6.25%+C4</f>
        <v>4836242.27734375</v>
      </c>
      <c r="I4" s="386">
        <f>H4*6.25%+H4</f>
        <v>5138507.4196777344</v>
      </c>
    </row>
    <row r="5" spans="1:14" s="272" customFormat="1" x14ac:dyDescent="0.25">
      <c r="A5" s="253" t="s">
        <v>834</v>
      </c>
      <c r="B5" s="158"/>
      <c r="C5" s="158"/>
      <c r="D5" s="239">
        <v>20935</v>
      </c>
      <c r="E5" s="239">
        <f t="shared" ref="E5:E12" si="0">C5-D5</f>
        <v>-20935</v>
      </c>
      <c r="F5" s="813">
        <v>50000</v>
      </c>
      <c r="G5" s="158">
        <f>C5+F5</f>
        <v>50000</v>
      </c>
      <c r="H5" s="158"/>
      <c r="I5" s="386"/>
    </row>
    <row r="6" spans="1:14" s="272" customFormat="1" x14ac:dyDescent="0.25">
      <c r="A6" s="253" t="s">
        <v>839</v>
      </c>
      <c r="B6" s="158"/>
      <c r="C6" s="158"/>
      <c r="D6" s="239">
        <v>3160124</v>
      </c>
      <c r="E6" s="239">
        <f t="shared" si="0"/>
        <v>-3160124</v>
      </c>
      <c r="F6" s="239">
        <v>3450000</v>
      </c>
      <c r="G6" s="158"/>
      <c r="H6" s="158"/>
      <c r="I6" s="386"/>
    </row>
    <row r="7" spans="1:14" s="272" customFormat="1" x14ac:dyDescent="0.25">
      <c r="A7" s="253" t="s">
        <v>3</v>
      </c>
      <c r="B7" s="158">
        <v>280268</v>
      </c>
      <c r="C7" s="158">
        <f t="shared" ref="C7:I12" si="1">B7*6.25%+B7</f>
        <v>297784.75</v>
      </c>
      <c r="D7" s="239">
        <v>314702</v>
      </c>
      <c r="E7" s="239">
        <f t="shared" si="0"/>
        <v>-16917.25</v>
      </c>
      <c r="F7" s="239">
        <v>18000</v>
      </c>
      <c r="G7" s="158">
        <f t="shared" ref="G7:G12" si="2">C7+F7</f>
        <v>315784.75</v>
      </c>
      <c r="H7" s="158">
        <f>C7*6.25%+C7</f>
        <v>316396.296875</v>
      </c>
      <c r="I7" s="386">
        <f t="shared" si="1"/>
        <v>336171.0654296875</v>
      </c>
    </row>
    <row r="8" spans="1:14" s="272" customFormat="1" x14ac:dyDescent="0.25">
      <c r="A8" s="253" t="s">
        <v>4</v>
      </c>
      <c r="B8" s="158">
        <v>125397</v>
      </c>
      <c r="C8" s="158">
        <f t="shared" si="1"/>
        <v>133234.3125</v>
      </c>
      <c r="D8" s="239">
        <v>18326</v>
      </c>
      <c r="E8" s="239">
        <f t="shared" si="0"/>
        <v>114908.3125</v>
      </c>
      <c r="F8" s="239">
        <v>-80000</v>
      </c>
      <c r="G8" s="158">
        <f t="shared" si="2"/>
        <v>53234.3125</v>
      </c>
      <c r="H8" s="158">
        <f>C8*6.25%+C8</f>
        <v>141561.45703125</v>
      </c>
      <c r="I8" s="386">
        <f t="shared" si="1"/>
        <v>150409.04809570313</v>
      </c>
    </row>
    <row r="9" spans="1:14" s="272" customFormat="1" x14ac:dyDescent="0.25">
      <c r="A9" s="253" t="s">
        <v>17</v>
      </c>
      <c r="B9" s="158"/>
      <c r="C9" s="158"/>
      <c r="D9" s="239">
        <v>112567</v>
      </c>
      <c r="E9" s="239">
        <f t="shared" si="0"/>
        <v>-112567</v>
      </c>
      <c r="F9" s="239">
        <v>130000</v>
      </c>
      <c r="G9" s="158"/>
      <c r="H9" s="158"/>
      <c r="I9" s="386"/>
    </row>
    <row r="10" spans="1:14" s="272" customFormat="1" x14ac:dyDescent="0.25">
      <c r="A10" s="253" t="s">
        <v>173</v>
      </c>
      <c r="B10" s="158"/>
      <c r="C10" s="158">
        <v>248244</v>
      </c>
      <c r="D10" s="239">
        <f>19869+2762430</f>
        <v>2782299</v>
      </c>
      <c r="E10" s="239">
        <f t="shared" si="0"/>
        <v>-2534055</v>
      </c>
      <c r="F10" s="813">
        <v>2600000</v>
      </c>
      <c r="G10" s="158">
        <f t="shared" si="2"/>
        <v>2848244</v>
      </c>
      <c r="H10" s="158">
        <f>C10*6.25%+C10</f>
        <v>263759.25</v>
      </c>
      <c r="I10" s="386">
        <f>H10*6.25%+H10</f>
        <v>280244.203125</v>
      </c>
    </row>
    <row r="11" spans="1:14" s="272" customFormat="1" x14ac:dyDescent="0.25">
      <c r="A11" s="253" t="s">
        <v>804</v>
      </c>
      <c r="B11" s="158"/>
      <c r="C11" s="158"/>
      <c r="D11" s="239">
        <v>117652</v>
      </c>
      <c r="E11" s="239">
        <f t="shared" si="0"/>
        <v>-117652</v>
      </c>
      <c r="F11" s="813">
        <v>140000</v>
      </c>
      <c r="G11" s="158">
        <f t="shared" si="2"/>
        <v>140000</v>
      </c>
      <c r="H11" s="158"/>
      <c r="I11" s="386"/>
    </row>
    <row r="12" spans="1:14" s="272" customFormat="1" x14ac:dyDescent="0.25">
      <c r="A12" s="253" t="s">
        <v>5</v>
      </c>
      <c r="B12" s="158">
        <v>1112227</v>
      </c>
      <c r="C12" s="158">
        <f t="shared" si="1"/>
        <v>1181741.1875</v>
      </c>
      <c r="D12" s="239">
        <v>913591</v>
      </c>
      <c r="E12" s="239">
        <f t="shared" si="0"/>
        <v>268150.1875</v>
      </c>
      <c r="F12" s="239">
        <v>0</v>
      </c>
      <c r="G12" s="158">
        <f t="shared" si="2"/>
        <v>1181741.1875</v>
      </c>
      <c r="H12" s="158">
        <f>C12*6.25%+C12</f>
        <v>1255600.01171875</v>
      </c>
      <c r="I12" s="386">
        <f t="shared" si="1"/>
        <v>1334075.0124511719</v>
      </c>
    </row>
    <row r="13" spans="1:14" s="272" customFormat="1" x14ac:dyDescent="0.25">
      <c r="A13" s="424" t="s">
        <v>40</v>
      </c>
      <c r="B13" s="246">
        <f>SUM(B4:B12)</f>
        <v>5801899</v>
      </c>
      <c r="C13" s="351">
        <f>SUM(C4:C12)</f>
        <v>6412761.6875</v>
      </c>
      <c r="D13" s="351">
        <f>SUM(D4:D12)</f>
        <v>7867995</v>
      </c>
      <c r="E13" s="351">
        <f>SUM(E4:E12)</f>
        <v>-1455233.3125</v>
      </c>
      <c r="F13" s="351">
        <f t="shared" ref="F13:G13" si="3">SUM(F4:F12)</f>
        <v>2808000</v>
      </c>
      <c r="G13" s="351">
        <f t="shared" si="3"/>
        <v>5640761.6875</v>
      </c>
      <c r="H13" s="351">
        <f>SUM(H4:H12)</f>
        <v>6813559.29296875</v>
      </c>
      <c r="I13" s="387">
        <f>SUM(I4:I12)</f>
        <v>7239406.7487792969</v>
      </c>
      <c r="L13" s="484">
        <v>248244</v>
      </c>
      <c r="M13" s="484">
        <v>263759</v>
      </c>
      <c r="N13" s="484">
        <v>280244</v>
      </c>
    </row>
    <row r="14" spans="1:14" s="272" customFormat="1" x14ac:dyDescent="0.25">
      <c r="A14" s="253"/>
      <c r="B14" s="158"/>
      <c r="C14" s="239"/>
      <c r="D14" s="239"/>
      <c r="E14" s="239"/>
      <c r="F14" s="239"/>
      <c r="G14" s="239"/>
      <c r="H14" s="158"/>
      <c r="I14" s="386"/>
      <c r="L14" s="158">
        <v>297784.75</v>
      </c>
      <c r="M14" s="158">
        <v>316396.296875</v>
      </c>
      <c r="N14" s="386">
        <v>336171.0654296875</v>
      </c>
    </row>
    <row r="15" spans="1:14" s="272" customFormat="1" x14ac:dyDescent="0.25">
      <c r="A15" s="271" t="s">
        <v>6</v>
      </c>
      <c r="B15" s="158">
        <v>232260</v>
      </c>
      <c r="C15" s="158">
        <f>B15*6.25%+B15</f>
        <v>246776.25</v>
      </c>
      <c r="D15" s="239">
        <v>271469</v>
      </c>
      <c r="E15" s="239">
        <f t="shared" ref="E15:E23" si="4">C15-D15</f>
        <v>-24692.75</v>
      </c>
      <c r="F15" s="239">
        <v>0</v>
      </c>
      <c r="G15" s="158">
        <f t="shared" ref="G15:G24" si="5">C15+F15</f>
        <v>246776.25</v>
      </c>
      <c r="H15" s="158">
        <f>C15*6.25%+C15</f>
        <v>262199.765625</v>
      </c>
      <c r="I15" s="386">
        <f>H15*6.25%+H15</f>
        <v>278587.2509765625</v>
      </c>
      <c r="L15" s="272">
        <v>45135</v>
      </c>
      <c r="M15" s="272">
        <v>47955.9375</v>
      </c>
      <c r="N15" s="272">
        <v>50953.18359375</v>
      </c>
    </row>
    <row r="16" spans="1:14" s="272" customFormat="1" x14ac:dyDescent="0.25">
      <c r="A16" s="271" t="s">
        <v>835</v>
      </c>
      <c r="B16" s="158"/>
      <c r="C16" s="158"/>
      <c r="D16" s="239">
        <v>3016</v>
      </c>
      <c r="E16" s="239">
        <f t="shared" si="4"/>
        <v>-3016</v>
      </c>
      <c r="F16" s="813">
        <v>21000</v>
      </c>
      <c r="G16" s="158"/>
      <c r="H16" s="158"/>
      <c r="I16" s="386"/>
    </row>
    <row r="17" spans="1:15" s="272" customFormat="1" x14ac:dyDescent="0.25">
      <c r="A17" s="253" t="s">
        <v>7</v>
      </c>
      <c r="B17" s="158">
        <v>42480</v>
      </c>
      <c r="C17" s="158">
        <f t="shared" ref="C17:I19" si="6">B17*6.25%+B17</f>
        <v>45135</v>
      </c>
      <c r="D17" s="239">
        <v>10857</v>
      </c>
      <c r="E17" s="239">
        <f t="shared" si="4"/>
        <v>34278</v>
      </c>
      <c r="F17" s="239">
        <v>-20000</v>
      </c>
      <c r="G17" s="158">
        <f t="shared" si="5"/>
        <v>25135</v>
      </c>
      <c r="H17" s="158">
        <f>C17*6.25%+C17</f>
        <v>47955.9375</v>
      </c>
      <c r="I17" s="386">
        <f t="shared" si="6"/>
        <v>50953.18359375</v>
      </c>
      <c r="L17" s="559">
        <f>SUM(L13:L15)</f>
        <v>591163.75</v>
      </c>
      <c r="M17" s="559">
        <f>SUM(M13:M15)</f>
        <v>628111.234375</v>
      </c>
      <c r="N17" s="559">
        <f>SUM(N13:N15)</f>
        <v>667368.2490234375</v>
      </c>
      <c r="O17" s="559">
        <f>SUM(O13:O15)</f>
        <v>0</v>
      </c>
    </row>
    <row r="18" spans="1:15" s="272" customFormat="1" x14ac:dyDescent="0.25">
      <c r="A18" s="253" t="s">
        <v>837</v>
      </c>
      <c r="B18" s="158"/>
      <c r="C18" s="158"/>
      <c r="D18" s="239">
        <v>715</v>
      </c>
      <c r="E18" s="239">
        <f t="shared" si="4"/>
        <v>-715</v>
      </c>
      <c r="F18" s="239">
        <v>1400</v>
      </c>
      <c r="G18" s="158"/>
      <c r="H18" s="158"/>
      <c r="I18" s="386"/>
      <c r="L18" s="559"/>
      <c r="M18" s="559"/>
      <c r="N18" s="559"/>
      <c r="O18" s="559"/>
    </row>
    <row r="19" spans="1:15" s="272" customFormat="1" x14ac:dyDescent="0.25">
      <c r="A19" s="253" t="s">
        <v>53</v>
      </c>
      <c r="B19" s="158">
        <v>624784</v>
      </c>
      <c r="C19" s="158">
        <f t="shared" si="6"/>
        <v>663833</v>
      </c>
      <c r="D19" s="239">
        <v>593070</v>
      </c>
      <c r="E19" s="239">
        <f t="shared" si="4"/>
        <v>70763</v>
      </c>
      <c r="F19" s="239">
        <v>0</v>
      </c>
      <c r="G19" s="158">
        <f t="shared" si="5"/>
        <v>663833</v>
      </c>
      <c r="H19" s="158">
        <f>C19*6.25%+C19</f>
        <v>705322.5625</v>
      </c>
      <c r="I19" s="386">
        <f t="shared" si="6"/>
        <v>749405.22265625</v>
      </c>
    </row>
    <row r="20" spans="1:15" s="272" customFormat="1" x14ac:dyDescent="0.25">
      <c r="A20" s="253" t="s">
        <v>836</v>
      </c>
      <c r="B20" s="158"/>
      <c r="C20" s="158"/>
      <c r="D20" s="239">
        <v>12086</v>
      </c>
      <c r="E20" s="239">
        <f t="shared" si="4"/>
        <v>-12086</v>
      </c>
      <c r="F20" s="239">
        <v>14000</v>
      </c>
      <c r="G20" s="158"/>
      <c r="H20" s="158"/>
      <c r="I20" s="386"/>
    </row>
    <row r="21" spans="1:15" s="272" customFormat="1" x14ac:dyDescent="0.25">
      <c r="A21" s="253" t="s">
        <v>833</v>
      </c>
      <c r="B21" s="158"/>
      <c r="C21" s="158"/>
      <c r="D21" s="239">
        <v>1000</v>
      </c>
      <c r="E21" s="239">
        <f t="shared" si="4"/>
        <v>-1000</v>
      </c>
      <c r="F21" s="239">
        <v>8000</v>
      </c>
      <c r="G21" s="158">
        <f t="shared" si="5"/>
        <v>8000</v>
      </c>
      <c r="H21" s="158">
        <v>0</v>
      </c>
      <c r="I21" s="386">
        <v>0</v>
      </c>
    </row>
    <row r="22" spans="1:15" s="272" customFormat="1" x14ac:dyDescent="0.25">
      <c r="A22" s="253" t="s">
        <v>840</v>
      </c>
      <c r="B22" s="158"/>
      <c r="C22" s="158"/>
      <c r="D22" s="239">
        <v>20400</v>
      </c>
      <c r="E22" s="239">
        <f t="shared" si="4"/>
        <v>-20400</v>
      </c>
      <c r="F22" s="239">
        <v>40000</v>
      </c>
      <c r="G22" s="158"/>
      <c r="H22" s="158"/>
      <c r="I22" s="386"/>
    </row>
    <row r="23" spans="1:15" s="93" customFormat="1" x14ac:dyDescent="0.25">
      <c r="A23" s="96" t="s">
        <v>396</v>
      </c>
      <c r="B23" s="91"/>
      <c r="C23" s="91">
        <v>28200</v>
      </c>
      <c r="D23" s="176">
        <v>1009</v>
      </c>
      <c r="E23" s="239">
        <f t="shared" si="4"/>
        <v>27191</v>
      </c>
      <c r="F23" s="239">
        <v>-18000</v>
      </c>
      <c r="G23" s="158">
        <f t="shared" si="5"/>
        <v>10200</v>
      </c>
      <c r="H23" s="91">
        <v>30145.8</v>
      </c>
      <c r="I23" s="404">
        <v>32225.860199999999</v>
      </c>
    </row>
    <row r="24" spans="1:15" s="746" customFormat="1" x14ac:dyDescent="0.25">
      <c r="A24" s="785" t="s">
        <v>872</v>
      </c>
      <c r="B24" s="91"/>
      <c r="C24" s="176"/>
      <c r="D24" s="176"/>
      <c r="E24" s="239"/>
      <c r="F24" s="239">
        <v>600</v>
      </c>
      <c r="G24" s="158">
        <f t="shared" si="5"/>
        <v>600</v>
      </c>
      <c r="H24" s="176">
        <v>0</v>
      </c>
      <c r="I24" s="176">
        <v>0</v>
      </c>
    </row>
    <row r="25" spans="1:15" s="272" customFormat="1" x14ac:dyDescent="0.25">
      <c r="A25" s="424" t="s">
        <v>41</v>
      </c>
      <c r="B25" s="246">
        <f ca="1">SUM(B15:B34)</f>
        <v>2255548</v>
      </c>
      <c r="C25" s="351">
        <f>SUM(C15:C24)</f>
        <v>983944.25</v>
      </c>
      <c r="D25" s="351">
        <f t="shared" ref="D25:G25" si="7">SUM(D15:D24)</f>
        <v>913622</v>
      </c>
      <c r="E25" s="351">
        <f t="shared" si="7"/>
        <v>70322.25</v>
      </c>
      <c r="F25" s="351">
        <f t="shared" si="7"/>
        <v>47000</v>
      </c>
      <c r="G25" s="351">
        <f t="shared" si="7"/>
        <v>954544.25</v>
      </c>
      <c r="H25" s="351">
        <f>SUM(H15:H23)</f>
        <v>1045624.065625</v>
      </c>
      <c r="I25" s="351">
        <f>SUM(I15:I23)</f>
        <v>1111171.5174265625</v>
      </c>
    </row>
    <row r="26" spans="1:15" s="272" customFormat="1" x14ac:dyDescent="0.25">
      <c r="A26" s="253"/>
      <c r="B26" s="246"/>
      <c r="C26" s="351"/>
      <c r="D26" s="351"/>
      <c r="E26" s="351"/>
      <c r="F26" s="351"/>
      <c r="G26" s="351"/>
      <c r="H26" s="351"/>
      <c r="I26" s="351"/>
    </row>
    <row r="27" spans="1:15" x14ac:dyDescent="0.25">
      <c r="A27" s="253" t="s">
        <v>211</v>
      </c>
      <c r="B27" s="160">
        <v>86770</v>
      </c>
      <c r="C27" s="158">
        <f>B27*4.5%+B27</f>
        <v>90674.65</v>
      </c>
      <c r="D27" s="239"/>
      <c r="E27" s="239">
        <f t="shared" ref="E27" si="8">C27-D27</f>
        <v>90674.65</v>
      </c>
      <c r="F27" s="239">
        <v>0</v>
      </c>
      <c r="G27" s="158">
        <f t="shared" ref="G27" si="9">C27+F27</f>
        <v>90674.65</v>
      </c>
      <c r="H27" s="158">
        <f>C27*6.25%+C27</f>
        <v>96341.815624999988</v>
      </c>
      <c r="I27" s="386">
        <f>H27*6.25%+H27</f>
        <v>102363.17910156249</v>
      </c>
    </row>
    <row r="28" spans="1:15" x14ac:dyDescent="0.25">
      <c r="A28" s="424" t="s">
        <v>211</v>
      </c>
      <c r="B28" s="246">
        <f>B27</f>
        <v>86770</v>
      </c>
      <c r="C28" s="351">
        <f>C27</f>
        <v>90674.65</v>
      </c>
      <c r="D28" s="351">
        <f>D27</f>
        <v>0</v>
      </c>
      <c r="E28" s="351">
        <f>E27</f>
        <v>90674.65</v>
      </c>
      <c r="F28" s="351">
        <f t="shared" ref="F28:G28" si="10">F27</f>
        <v>0</v>
      </c>
      <c r="G28" s="351">
        <f t="shared" si="10"/>
        <v>90674.65</v>
      </c>
      <c r="H28" s="246">
        <f>H27</f>
        <v>96341.815624999988</v>
      </c>
      <c r="I28" s="387">
        <f>I27</f>
        <v>102363.17910156249</v>
      </c>
    </row>
    <row r="29" spans="1:15" s="272" customFormat="1" x14ac:dyDescent="0.25">
      <c r="A29" s="253"/>
      <c r="B29" s="158"/>
      <c r="C29" s="239"/>
      <c r="D29" s="239"/>
      <c r="E29" s="239"/>
      <c r="F29" s="239"/>
      <c r="G29" s="239"/>
      <c r="H29" s="158"/>
      <c r="I29" s="386">
        <f>H29*6.9%+H29</f>
        <v>0</v>
      </c>
    </row>
    <row r="30" spans="1:15" s="272" customFormat="1" x14ac:dyDescent="0.25">
      <c r="A30" s="253" t="s">
        <v>20</v>
      </c>
      <c r="B30" s="158">
        <v>99000</v>
      </c>
      <c r="C30" s="158">
        <f>B30*6.25%+B30</f>
        <v>105187.5</v>
      </c>
      <c r="D30" s="239">
        <v>102731</v>
      </c>
      <c r="E30" s="239">
        <f t="shared" ref="E30" si="11">C30-D30</f>
        <v>2456.5</v>
      </c>
      <c r="F30" s="239">
        <v>0</v>
      </c>
      <c r="G30" s="158">
        <f t="shared" ref="G30" si="12">C30+F30</f>
        <v>105187.5</v>
      </c>
      <c r="H30" s="158">
        <f>C30*6.25%+C30</f>
        <v>111761.71875</v>
      </c>
      <c r="I30" s="386">
        <f>H30*6.25%+H30</f>
        <v>118746.826171875</v>
      </c>
    </row>
    <row r="31" spans="1:15" s="479" customFormat="1" x14ac:dyDescent="0.25">
      <c r="A31" s="424" t="s">
        <v>43</v>
      </c>
      <c r="B31" s="246">
        <f>SUM(B30)</f>
        <v>99000</v>
      </c>
      <c r="C31" s="351">
        <f>SUM(C30)</f>
        <v>105187.5</v>
      </c>
      <c r="D31" s="351">
        <f>SUM(D30)</f>
        <v>102731</v>
      </c>
      <c r="E31" s="351">
        <f>SUM(E30)</f>
        <v>2456.5</v>
      </c>
      <c r="F31" s="351">
        <f t="shared" ref="F31:G31" si="13">SUM(F30)</f>
        <v>0</v>
      </c>
      <c r="G31" s="351">
        <f t="shared" si="13"/>
        <v>105187.5</v>
      </c>
      <c r="H31" s="246">
        <f>SUM(H30)</f>
        <v>111761.71875</v>
      </c>
      <c r="I31" s="387">
        <f>SUM(I30)</f>
        <v>118746.826171875</v>
      </c>
    </row>
    <row r="32" spans="1:15" s="479" customFormat="1" x14ac:dyDescent="0.25">
      <c r="A32" s="477"/>
      <c r="B32" s="246"/>
      <c r="C32" s="351"/>
      <c r="D32" s="351"/>
      <c r="E32" s="351"/>
      <c r="F32" s="351"/>
      <c r="G32" s="351"/>
      <c r="H32" s="246"/>
      <c r="I32" s="387"/>
    </row>
    <row r="33" spans="1:9" s="479" customFormat="1" x14ac:dyDescent="0.25">
      <c r="A33" s="477"/>
      <c r="B33" s="246"/>
      <c r="C33" s="351"/>
      <c r="D33" s="351"/>
      <c r="E33" s="351"/>
      <c r="F33" s="351"/>
      <c r="G33" s="351"/>
      <c r="H33" s="246"/>
      <c r="I33" s="387"/>
    </row>
    <row r="34" spans="1:9" s="272" customFormat="1" x14ac:dyDescent="0.25">
      <c r="A34" s="253" t="s">
        <v>9</v>
      </c>
      <c r="B34" s="158">
        <v>42480</v>
      </c>
      <c r="C34" s="158">
        <f>B34*6.25%+B34</f>
        <v>45135</v>
      </c>
      <c r="D34" s="239">
        <v>11964</v>
      </c>
      <c r="E34" s="239">
        <f t="shared" ref="E34:E52" si="14">C34-D34</f>
        <v>33171</v>
      </c>
      <c r="F34" s="239">
        <v>-18000</v>
      </c>
      <c r="G34" s="158">
        <f t="shared" ref="G34:G52" si="15">C34+F34</f>
        <v>27135</v>
      </c>
      <c r="H34" s="158">
        <f>C34*6.25%+C34</f>
        <v>47955.9375</v>
      </c>
      <c r="I34" s="386">
        <f>H34*6.25%+H34</f>
        <v>50953.18359375</v>
      </c>
    </row>
    <row r="35" spans="1:9" s="272" customFormat="1" x14ac:dyDescent="0.25">
      <c r="A35" s="253" t="s">
        <v>838</v>
      </c>
      <c r="B35" s="158"/>
      <c r="C35" s="158"/>
      <c r="D35" s="239">
        <v>9804</v>
      </c>
      <c r="E35" s="239">
        <f t="shared" si="14"/>
        <v>-9804</v>
      </c>
      <c r="F35" s="239">
        <v>18000</v>
      </c>
      <c r="G35" s="158"/>
      <c r="H35" s="158"/>
      <c r="I35" s="386"/>
    </row>
    <row r="36" spans="1:9" s="272" customFormat="1" x14ac:dyDescent="0.25">
      <c r="A36" s="253" t="s">
        <v>24</v>
      </c>
      <c r="B36" s="158">
        <v>150000</v>
      </c>
      <c r="C36" s="158">
        <f t="shared" ref="C36:I37" si="16">B36*6.25%+B36</f>
        <v>159375</v>
      </c>
      <c r="D36" s="239"/>
      <c r="E36" s="239">
        <f t="shared" si="14"/>
        <v>159375</v>
      </c>
      <c r="F36" s="239">
        <v>0</v>
      </c>
      <c r="G36" s="158">
        <f t="shared" si="15"/>
        <v>159375</v>
      </c>
      <c r="H36" s="158">
        <f>C36*6.25%+C36</f>
        <v>169335.9375</v>
      </c>
      <c r="I36" s="386">
        <f t="shared" si="16"/>
        <v>179919.43359375</v>
      </c>
    </row>
    <row r="37" spans="1:9" s="272" customFormat="1" x14ac:dyDescent="0.25">
      <c r="A37" s="253" t="s">
        <v>63</v>
      </c>
      <c r="B37" s="158">
        <v>2000</v>
      </c>
      <c r="C37" s="158">
        <f t="shared" si="16"/>
        <v>2125</v>
      </c>
      <c r="D37" s="239">
        <v>2000</v>
      </c>
      <c r="E37" s="239">
        <f t="shared" si="14"/>
        <v>125</v>
      </c>
      <c r="F37" s="239">
        <v>0</v>
      </c>
      <c r="G37" s="158">
        <f t="shared" si="15"/>
        <v>2125</v>
      </c>
      <c r="H37" s="158">
        <f>C37*6.25%+C37</f>
        <v>2257.8125</v>
      </c>
      <c r="I37" s="386">
        <f t="shared" si="16"/>
        <v>2398.92578125</v>
      </c>
    </row>
    <row r="38" spans="1:9" s="272" customFormat="1" x14ac:dyDescent="0.25">
      <c r="A38" s="253" t="s">
        <v>56</v>
      </c>
      <c r="B38" s="158">
        <v>477000</v>
      </c>
      <c r="C38" s="158">
        <v>500000</v>
      </c>
      <c r="D38" s="239"/>
      <c r="E38" s="239">
        <f t="shared" si="14"/>
        <v>500000</v>
      </c>
      <c r="F38" s="879">
        <v>-100000</v>
      </c>
      <c r="G38" s="158">
        <f t="shared" si="15"/>
        <v>400000</v>
      </c>
      <c r="H38" s="158">
        <v>650000</v>
      </c>
      <c r="I38" s="386">
        <v>700000</v>
      </c>
    </row>
    <row r="39" spans="1:9" s="272" customFormat="1" x14ac:dyDescent="0.25">
      <c r="A39" s="253" t="s">
        <v>59</v>
      </c>
      <c r="B39" s="158">
        <v>50000</v>
      </c>
      <c r="C39" s="158">
        <f t="shared" ref="C39:I41" si="17">B39*6.25%+B39</f>
        <v>53125</v>
      </c>
      <c r="D39" s="239"/>
      <c r="E39" s="239">
        <f t="shared" si="14"/>
        <v>53125</v>
      </c>
      <c r="F39" s="239">
        <v>0</v>
      </c>
      <c r="G39" s="158">
        <f t="shared" si="15"/>
        <v>53125</v>
      </c>
      <c r="H39" s="158">
        <f>C39*6.25%+C39</f>
        <v>56445.3125</v>
      </c>
      <c r="I39" s="386">
        <f t="shared" si="17"/>
        <v>59973.14453125</v>
      </c>
    </row>
    <row r="40" spans="1:9" s="272" customFormat="1" x14ac:dyDescent="0.25">
      <c r="A40" s="253" t="s">
        <v>51</v>
      </c>
      <c r="B40" s="158">
        <f>350000/2</f>
        <v>175000</v>
      </c>
      <c r="C40" s="158">
        <f t="shared" si="17"/>
        <v>185937.5</v>
      </c>
      <c r="D40" s="239">
        <v>208530</v>
      </c>
      <c r="E40" s="239">
        <f t="shared" si="14"/>
        <v>-22592.5</v>
      </c>
      <c r="F40" s="239">
        <v>200000</v>
      </c>
      <c r="G40" s="158">
        <f t="shared" si="15"/>
        <v>385937.5</v>
      </c>
      <c r="H40" s="158">
        <f>C40*6.25%+C40</f>
        <v>197558.59375</v>
      </c>
      <c r="I40" s="386">
        <f t="shared" si="17"/>
        <v>209906.005859375</v>
      </c>
    </row>
    <row r="41" spans="1:9" s="272" customFormat="1" hidden="1" x14ac:dyDescent="0.25">
      <c r="A41" s="253" t="s">
        <v>397</v>
      </c>
      <c r="B41" s="158">
        <v>0</v>
      </c>
      <c r="C41" s="158">
        <f t="shared" si="17"/>
        <v>0</v>
      </c>
      <c r="D41" s="239"/>
      <c r="E41" s="239">
        <f t="shared" si="14"/>
        <v>0</v>
      </c>
      <c r="F41" s="239">
        <v>0</v>
      </c>
      <c r="G41" s="158">
        <f t="shared" si="15"/>
        <v>0</v>
      </c>
      <c r="H41" s="158">
        <f>C41*6.25%+C41</f>
        <v>0</v>
      </c>
      <c r="I41" s="386">
        <f t="shared" si="17"/>
        <v>0</v>
      </c>
    </row>
    <row r="42" spans="1:9" s="252" customFormat="1" x14ac:dyDescent="0.25">
      <c r="A42" s="271" t="s">
        <v>37</v>
      </c>
      <c r="B42" s="158">
        <v>150000</v>
      </c>
      <c r="C42" s="158">
        <v>300000</v>
      </c>
      <c r="D42" s="239"/>
      <c r="E42" s="239">
        <f t="shared" si="14"/>
        <v>300000</v>
      </c>
      <c r="F42" s="879">
        <f>-150000</f>
        <v>-150000</v>
      </c>
      <c r="G42" s="158">
        <f t="shared" si="15"/>
        <v>150000</v>
      </c>
      <c r="H42" s="158">
        <v>320000</v>
      </c>
      <c r="I42" s="386">
        <v>350000</v>
      </c>
    </row>
    <row r="43" spans="1:9" s="272" customFormat="1" x14ac:dyDescent="0.25">
      <c r="A43" s="253" t="s">
        <v>770</v>
      </c>
      <c r="B43" s="158">
        <v>100000</v>
      </c>
      <c r="C43" s="158">
        <v>150000</v>
      </c>
      <c r="D43" s="239"/>
      <c r="E43" s="239">
        <f t="shared" si="14"/>
        <v>150000</v>
      </c>
      <c r="F43" s="239">
        <v>-100000</v>
      </c>
      <c r="G43" s="158">
        <f t="shared" si="15"/>
        <v>50000</v>
      </c>
      <c r="H43" s="158">
        <v>150000</v>
      </c>
      <c r="I43" s="386">
        <v>160000</v>
      </c>
    </row>
    <row r="44" spans="1:9" s="272" customFormat="1" hidden="1" x14ac:dyDescent="0.25">
      <c r="A44" s="253" t="s">
        <v>362</v>
      </c>
      <c r="B44" s="158">
        <v>40000</v>
      </c>
      <c r="C44" s="158">
        <v>0</v>
      </c>
      <c r="D44" s="239"/>
      <c r="E44" s="239">
        <f t="shared" si="14"/>
        <v>0</v>
      </c>
      <c r="F44" s="239">
        <v>0</v>
      </c>
      <c r="G44" s="158">
        <f t="shared" si="15"/>
        <v>0</v>
      </c>
      <c r="H44" s="158">
        <v>0</v>
      </c>
      <c r="I44" s="386">
        <v>0</v>
      </c>
    </row>
    <row r="45" spans="1:9" s="272" customFormat="1" x14ac:dyDescent="0.25">
      <c r="A45" s="271" t="s">
        <v>409</v>
      </c>
      <c r="B45" s="158">
        <v>50000</v>
      </c>
      <c r="C45" s="158">
        <v>100000</v>
      </c>
      <c r="D45" s="239"/>
      <c r="E45" s="239">
        <f t="shared" si="14"/>
        <v>100000</v>
      </c>
      <c r="F45" s="239">
        <v>0</v>
      </c>
      <c r="G45" s="158">
        <f t="shared" si="15"/>
        <v>100000</v>
      </c>
      <c r="H45" s="158">
        <v>150000</v>
      </c>
      <c r="I45" s="386">
        <v>150000</v>
      </c>
    </row>
    <row r="46" spans="1:9" s="252" customFormat="1" x14ac:dyDescent="0.25">
      <c r="A46" s="271" t="s">
        <v>367</v>
      </c>
      <c r="B46" s="158">
        <v>50000</v>
      </c>
      <c r="C46" s="158">
        <v>150000</v>
      </c>
      <c r="D46" s="239"/>
      <c r="E46" s="239">
        <f t="shared" si="14"/>
        <v>150000</v>
      </c>
      <c r="F46" s="239">
        <v>0</v>
      </c>
      <c r="G46" s="158">
        <f t="shared" si="15"/>
        <v>150000</v>
      </c>
      <c r="H46" s="158">
        <v>150000</v>
      </c>
      <c r="I46" s="386">
        <v>160000</v>
      </c>
    </row>
    <row r="47" spans="1:9" s="252" customFormat="1" x14ac:dyDescent="0.25">
      <c r="A47" s="271" t="s">
        <v>756</v>
      </c>
      <c r="B47" s="158"/>
      <c r="C47" s="158">
        <v>400000</v>
      </c>
      <c r="D47" s="239">
        <v>71154</v>
      </c>
      <c r="E47" s="239">
        <f t="shared" si="14"/>
        <v>328846</v>
      </c>
      <c r="F47" s="239">
        <v>-400000</v>
      </c>
      <c r="G47" s="158">
        <f t="shared" si="15"/>
        <v>0</v>
      </c>
      <c r="H47" s="158">
        <v>0</v>
      </c>
      <c r="I47" s="386">
        <v>0</v>
      </c>
    </row>
    <row r="48" spans="1:9" s="252" customFormat="1" x14ac:dyDescent="0.25">
      <c r="A48" s="271" t="s">
        <v>410</v>
      </c>
      <c r="B48" s="158">
        <v>50000</v>
      </c>
      <c r="C48" s="158">
        <v>100000</v>
      </c>
      <c r="D48" s="239"/>
      <c r="E48" s="239">
        <f t="shared" si="14"/>
        <v>100000</v>
      </c>
      <c r="F48" s="879">
        <v>-100000</v>
      </c>
      <c r="G48" s="158">
        <f t="shared" si="15"/>
        <v>0</v>
      </c>
      <c r="H48" s="158">
        <v>150000</v>
      </c>
      <c r="I48" s="386">
        <v>180000</v>
      </c>
    </row>
    <row r="49" spans="1:9" s="272" customFormat="1" x14ac:dyDescent="0.25">
      <c r="A49" s="253" t="s">
        <v>411</v>
      </c>
      <c r="B49" s="158">
        <v>50000</v>
      </c>
      <c r="C49" s="158">
        <v>100000</v>
      </c>
      <c r="D49" s="239"/>
      <c r="E49" s="239">
        <f t="shared" si="14"/>
        <v>100000</v>
      </c>
      <c r="F49" s="239">
        <v>-100000</v>
      </c>
      <c r="G49" s="158">
        <f t="shared" si="15"/>
        <v>0</v>
      </c>
      <c r="H49" s="158">
        <v>150000</v>
      </c>
      <c r="I49" s="386">
        <v>160000</v>
      </c>
    </row>
    <row r="50" spans="1:9" s="272" customFormat="1" x14ac:dyDescent="0.25">
      <c r="A50" s="253" t="s">
        <v>412</v>
      </c>
      <c r="B50" s="158">
        <v>200000</v>
      </c>
      <c r="C50" s="158">
        <v>250000</v>
      </c>
      <c r="D50" s="239"/>
      <c r="E50" s="239">
        <f t="shared" si="14"/>
        <v>250000</v>
      </c>
      <c r="F50" s="239">
        <v>0</v>
      </c>
      <c r="G50" s="158">
        <f t="shared" si="15"/>
        <v>250000</v>
      </c>
      <c r="H50" s="158">
        <v>260000</v>
      </c>
      <c r="I50" s="386">
        <v>280000</v>
      </c>
    </row>
    <row r="51" spans="1:9" s="272" customFormat="1" x14ac:dyDescent="0.25">
      <c r="A51" s="253" t="s">
        <v>588</v>
      </c>
      <c r="B51" s="158">
        <v>50000</v>
      </c>
      <c r="C51" s="158">
        <v>100000</v>
      </c>
      <c r="D51" s="239"/>
      <c r="E51" s="239">
        <f t="shared" si="14"/>
        <v>100000</v>
      </c>
      <c r="F51" s="239">
        <v>0</v>
      </c>
      <c r="G51" s="158">
        <f t="shared" si="15"/>
        <v>100000</v>
      </c>
      <c r="H51" s="158">
        <v>140000</v>
      </c>
      <c r="I51" s="386">
        <v>145000</v>
      </c>
    </row>
    <row r="52" spans="1:9" s="272" customFormat="1" x14ac:dyDescent="0.25">
      <c r="A52" s="253" t="s">
        <v>463</v>
      </c>
      <c r="B52" s="158">
        <v>150000</v>
      </c>
      <c r="C52" s="158">
        <v>150000</v>
      </c>
      <c r="D52" s="239"/>
      <c r="E52" s="239">
        <f t="shared" si="14"/>
        <v>150000</v>
      </c>
      <c r="F52" s="239">
        <f>-150000</f>
        <v>-150000</v>
      </c>
      <c r="G52" s="158">
        <f t="shared" si="15"/>
        <v>0</v>
      </c>
      <c r="H52" s="158">
        <v>150000</v>
      </c>
      <c r="I52" s="386">
        <v>150000</v>
      </c>
    </row>
    <row r="53" spans="1:9" s="272" customFormat="1" hidden="1" x14ac:dyDescent="0.25">
      <c r="A53" s="253" t="s">
        <v>610</v>
      </c>
      <c r="B53" s="254">
        <v>50000</v>
      </c>
      <c r="C53" s="158">
        <v>0</v>
      </c>
      <c r="D53" s="158"/>
      <c r="E53" s="158"/>
      <c r="F53" s="158"/>
      <c r="G53" s="158"/>
      <c r="H53" s="158">
        <v>0</v>
      </c>
      <c r="I53" s="386">
        <v>0</v>
      </c>
    </row>
    <row r="54" spans="1:9" s="272" customFormat="1" x14ac:dyDescent="0.25">
      <c r="A54" s="424" t="s">
        <v>42</v>
      </c>
      <c r="B54" s="246">
        <f>SUM(B36:B53)</f>
        <v>1794000</v>
      </c>
      <c r="C54" s="351">
        <f>SUM(C31:C52)</f>
        <v>2850885</v>
      </c>
      <c r="D54" s="351">
        <f>SUM(D34:D53)</f>
        <v>303452</v>
      </c>
      <c r="E54" s="351">
        <f>SUM(E34:E53)</f>
        <v>2442245.5</v>
      </c>
      <c r="F54" s="351">
        <f t="shared" ref="F54:G54" si="18">SUM(F31:F52)</f>
        <v>-900000</v>
      </c>
      <c r="G54" s="351">
        <f t="shared" si="18"/>
        <v>1932885</v>
      </c>
      <c r="H54" s="351">
        <f>SUM(H31:H52)</f>
        <v>2855315.3125</v>
      </c>
      <c r="I54" s="351">
        <f>SUM(I31:I52)</f>
        <v>3056897.51953125</v>
      </c>
    </row>
    <row r="55" spans="1:9" s="272" customFormat="1" x14ac:dyDescent="0.25">
      <c r="A55" s="425"/>
      <c r="B55" s="158"/>
      <c r="C55" s="239"/>
      <c r="D55" s="239"/>
      <c r="E55" s="239"/>
      <c r="F55" s="239"/>
      <c r="G55" s="239"/>
      <c r="H55" s="158"/>
      <c r="I55" s="386">
        <f>H55*6.9%+H55</f>
        <v>0</v>
      </c>
    </row>
    <row r="56" spans="1:9" s="272" customFormat="1" ht="15.75" thickBot="1" x14ac:dyDescent="0.3">
      <c r="A56" s="426" t="s">
        <v>44</v>
      </c>
      <c r="B56" s="392">
        <f ca="1">B13+B25+B28+B31+B54</f>
        <v>10037217</v>
      </c>
      <c r="C56" s="422">
        <f>SUM(C54,C28,C25,C13,C31)</f>
        <v>10443453.0875</v>
      </c>
      <c r="D56" s="422">
        <f>SUM(D54,D28,D25,D13,D31)</f>
        <v>9187800</v>
      </c>
      <c r="E56" s="422">
        <f>SUM(E54,E28,E25,E13,E31)</f>
        <v>1150465.5874999999</v>
      </c>
      <c r="F56" s="422">
        <f>SUM(F54,F28,F25,F13,F31)</f>
        <v>1955000</v>
      </c>
      <c r="G56" s="422">
        <f>SUM(G54,G28,G25,G13,G31)</f>
        <v>8724053.0875000004</v>
      </c>
      <c r="H56" s="422">
        <f>SUM(H54,H28,H25,H13)</f>
        <v>10810840.48671875</v>
      </c>
      <c r="I56" s="422">
        <f>SUM(I54,I28,I25,I13)</f>
        <v>11509838.964838672</v>
      </c>
    </row>
  </sheetData>
  <phoneticPr fontId="8" type="noConversion"/>
  <pageMargins left="0.74803149606299202" right="0.74803149606299202" top="0.98425196850393704" bottom="0.78740157480314998" header="0.511811023622047" footer="0.511811023622047"/>
  <pageSetup scale="60" fitToWidth="0" orientation="landscape" r:id="rId1"/>
  <headerFooter alignWithMargins="0">
    <oddFooter>&amp;A&amp;RPage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pageSetUpPr fitToPage="1"/>
  </sheetPr>
  <dimension ref="A1:I38"/>
  <sheetViews>
    <sheetView view="pageBreakPreview" topLeftCell="A16" zoomScale="60" zoomScaleNormal="100" workbookViewId="0">
      <selection activeCell="A28" sqref="A28"/>
    </sheetView>
  </sheetViews>
  <sheetFormatPr defaultColWidth="9.28515625" defaultRowHeight="15" x14ac:dyDescent="0.25"/>
  <cols>
    <col min="1" max="1" width="41.7109375" style="352" customWidth="1"/>
    <col min="2" max="2" width="16.28515625" style="247" hidden="1" customWidth="1"/>
    <col min="3" max="7" width="16.28515625" style="247" customWidth="1"/>
    <col min="8" max="8" width="14" style="247" customWidth="1"/>
    <col min="9" max="9" width="13.42578125" style="352" customWidth="1"/>
    <col min="10" max="16384" width="9.28515625" style="352"/>
  </cols>
  <sheetData>
    <row r="1" spans="1:9" s="272" customFormat="1" ht="18.75" x14ac:dyDescent="0.3">
      <c r="A1" s="515" t="s">
        <v>490</v>
      </c>
      <c r="B1" s="362"/>
      <c r="C1" s="362"/>
      <c r="D1" s="362"/>
      <c r="E1" s="362"/>
      <c r="F1" s="362"/>
      <c r="G1" s="362"/>
      <c r="H1" s="362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39.7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860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4191037</v>
      </c>
      <c r="C4" s="158">
        <f>B4*6.25%+B4</f>
        <v>4452976.8125</v>
      </c>
      <c r="D4" s="239">
        <f>545+384707+2962799</f>
        <v>3348051</v>
      </c>
      <c r="E4" s="239">
        <f>C4-D4</f>
        <v>1104925.8125</v>
      </c>
      <c r="F4" s="239">
        <v>0</v>
      </c>
      <c r="G4" s="158">
        <f>C4+F4</f>
        <v>4452976.8125</v>
      </c>
      <c r="H4" s="158">
        <f>C4*6.25%+C4</f>
        <v>4731287.86328125</v>
      </c>
      <c r="I4" s="386">
        <f>H4*6.25%+H4</f>
        <v>5026993.3547363281</v>
      </c>
    </row>
    <row r="5" spans="1:9" s="272" customFormat="1" x14ac:dyDescent="0.25">
      <c r="A5" s="253" t="s">
        <v>3</v>
      </c>
      <c r="B5" s="158">
        <v>349253</v>
      </c>
      <c r="C5" s="158">
        <f t="shared" ref="C5:I9" si="0">B5*6.25%+B5</f>
        <v>371081.3125</v>
      </c>
      <c r="D5" s="239">
        <v>329773</v>
      </c>
      <c r="E5" s="239">
        <f t="shared" ref="E5:E9" si="1">C5-D5</f>
        <v>41308.3125</v>
      </c>
      <c r="F5" s="239">
        <v>0</v>
      </c>
      <c r="G5" s="158">
        <f t="shared" ref="G5:G9" si="2">C5+F5</f>
        <v>371081.3125</v>
      </c>
      <c r="H5" s="158">
        <f>C5*6.25%+C5</f>
        <v>394273.89453125</v>
      </c>
      <c r="I5" s="386">
        <f t="shared" si="0"/>
        <v>418916.01293945313</v>
      </c>
    </row>
    <row r="6" spans="1:9" s="272" customFormat="1" x14ac:dyDescent="0.25">
      <c r="A6" s="253" t="s">
        <v>4</v>
      </c>
      <c r="B6" s="158">
        <v>76800</v>
      </c>
      <c r="C6" s="158">
        <f t="shared" si="0"/>
        <v>81600</v>
      </c>
      <c r="D6" s="239">
        <v>17783</v>
      </c>
      <c r="E6" s="239">
        <f t="shared" si="1"/>
        <v>63817</v>
      </c>
      <c r="F6" s="239">
        <v>0</v>
      </c>
      <c r="G6" s="158">
        <f t="shared" si="2"/>
        <v>81600</v>
      </c>
      <c r="H6" s="158">
        <f>C6*6.25%+C6</f>
        <v>86700</v>
      </c>
      <c r="I6" s="386">
        <f t="shared" si="0"/>
        <v>92118.75</v>
      </c>
    </row>
    <row r="7" spans="1:9" s="272" customFormat="1" x14ac:dyDescent="0.25">
      <c r="A7" s="253" t="s">
        <v>173</v>
      </c>
      <c r="B7" s="158"/>
      <c r="C7" s="158">
        <v>294461</v>
      </c>
      <c r="D7" s="239"/>
      <c r="E7" s="239">
        <f t="shared" si="1"/>
        <v>294461</v>
      </c>
      <c r="F7" s="239">
        <v>0</v>
      </c>
      <c r="G7" s="158">
        <f t="shared" si="2"/>
        <v>294461</v>
      </c>
      <c r="H7" s="158">
        <f>C7*6.25%+C7</f>
        <v>312864.8125</v>
      </c>
      <c r="I7" s="386">
        <f t="shared" si="0"/>
        <v>332418.86328125</v>
      </c>
    </row>
    <row r="8" spans="1:9" s="272" customFormat="1" x14ac:dyDescent="0.25">
      <c r="A8" s="253" t="s">
        <v>841</v>
      </c>
      <c r="B8" s="158"/>
      <c r="C8" s="158"/>
      <c r="D8" s="239">
        <v>127485</v>
      </c>
      <c r="E8" s="239">
        <f t="shared" si="1"/>
        <v>-127485</v>
      </c>
      <c r="F8" s="239">
        <v>250000</v>
      </c>
      <c r="G8" s="158"/>
      <c r="H8" s="158"/>
      <c r="I8" s="386"/>
    </row>
    <row r="9" spans="1:9" s="272" customFormat="1" x14ac:dyDescent="0.25">
      <c r="A9" s="253" t="s">
        <v>85</v>
      </c>
      <c r="B9" s="158">
        <v>1460881</v>
      </c>
      <c r="C9" s="158">
        <f t="shared" si="0"/>
        <v>1552186.0625</v>
      </c>
      <c r="D9" s="239">
        <v>1017745</v>
      </c>
      <c r="E9" s="239">
        <f t="shared" si="1"/>
        <v>534441.0625</v>
      </c>
      <c r="F9" s="239">
        <v>500000</v>
      </c>
      <c r="G9" s="158">
        <f t="shared" si="2"/>
        <v>2052186.0625</v>
      </c>
      <c r="H9" s="158">
        <f>C9*6.25%+C9</f>
        <v>1649197.69140625</v>
      </c>
      <c r="I9" s="386">
        <f t="shared" si="0"/>
        <v>1752272.5471191406</v>
      </c>
    </row>
    <row r="10" spans="1:9" s="272" customFormat="1" x14ac:dyDescent="0.25">
      <c r="A10" s="424" t="s">
        <v>40</v>
      </c>
      <c r="B10" s="246">
        <f>SUM(B4:B9)</f>
        <v>6077971</v>
      </c>
      <c r="C10" s="351">
        <f>SUM(C4:C9)</f>
        <v>6752305.1875</v>
      </c>
      <c r="D10" s="351">
        <f>SUM(D4:D9)</f>
        <v>4840837</v>
      </c>
      <c r="E10" s="351">
        <f>SUM(E4:E9)</f>
        <v>1911468.1875</v>
      </c>
      <c r="F10" s="351">
        <f t="shared" ref="F10:G10" si="3">SUM(F4:F9)</f>
        <v>750000</v>
      </c>
      <c r="G10" s="351">
        <f t="shared" si="3"/>
        <v>7252305.1875</v>
      </c>
      <c r="H10" s="351">
        <f>SUM(H4:H9)</f>
        <v>7174324.26171875</v>
      </c>
      <c r="I10" s="387">
        <f>SUM(I4:I9)</f>
        <v>7622719.5280761719</v>
      </c>
    </row>
    <row r="11" spans="1:9" s="272" customFormat="1" x14ac:dyDescent="0.25">
      <c r="A11" s="253"/>
      <c r="B11" s="158"/>
      <c r="C11" s="239"/>
      <c r="D11" s="239"/>
      <c r="E11" s="239"/>
      <c r="F11" s="239"/>
      <c r="G11" s="239"/>
      <c r="H11" s="158"/>
      <c r="I11" s="386"/>
    </row>
    <row r="12" spans="1:9" s="272" customFormat="1" x14ac:dyDescent="0.25">
      <c r="A12" s="253" t="s">
        <v>6</v>
      </c>
      <c r="B12" s="158">
        <v>371616</v>
      </c>
      <c r="C12" s="158">
        <f>B12*6.25%+B12</f>
        <v>394842</v>
      </c>
      <c r="D12" s="239">
        <v>179497</v>
      </c>
      <c r="E12" s="239">
        <f t="shared" ref="E12:E15" si="4">C12-D12</f>
        <v>215345</v>
      </c>
      <c r="F12" s="239">
        <v>0</v>
      </c>
      <c r="G12" s="158">
        <f t="shared" ref="G12:G16" si="5">C12+F12</f>
        <v>394842</v>
      </c>
      <c r="H12" s="158">
        <f>C12*6.25%+C12</f>
        <v>419519.625</v>
      </c>
      <c r="I12" s="386">
        <f>H12*6.25%+H12</f>
        <v>445739.6015625</v>
      </c>
    </row>
    <row r="13" spans="1:9" s="272" customFormat="1" x14ac:dyDescent="0.25">
      <c r="A13" s="253" t="s">
        <v>7</v>
      </c>
      <c r="B13" s="158">
        <v>41910</v>
      </c>
      <c r="C13" s="158">
        <f t="shared" ref="C13:I14" si="6">B13*6.25%+B13</f>
        <v>44529.375</v>
      </c>
      <c r="D13" s="239"/>
      <c r="E13" s="239">
        <f t="shared" si="4"/>
        <v>44529.375</v>
      </c>
      <c r="F13" s="239">
        <v>0</v>
      </c>
      <c r="G13" s="158">
        <f t="shared" si="5"/>
        <v>44529.375</v>
      </c>
      <c r="H13" s="158">
        <f>C13*6.25%+C13</f>
        <v>47312.4609375</v>
      </c>
      <c r="I13" s="386">
        <f t="shared" si="6"/>
        <v>50269.48974609375</v>
      </c>
    </row>
    <row r="14" spans="1:9" s="272" customFormat="1" x14ac:dyDescent="0.25">
      <c r="A14" s="253" t="s">
        <v>8</v>
      </c>
      <c r="B14" s="158">
        <v>806505</v>
      </c>
      <c r="C14" s="158">
        <f t="shared" si="6"/>
        <v>856911.5625</v>
      </c>
      <c r="D14" s="239">
        <v>540431</v>
      </c>
      <c r="E14" s="239">
        <f t="shared" si="4"/>
        <v>316480.5625</v>
      </c>
      <c r="F14" s="239">
        <v>0</v>
      </c>
      <c r="G14" s="158">
        <f t="shared" si="5"/>
        <v>856911.5625</v>
      </c>
      <c r="H14" s="158">
        <f>C14*6.25%+C14</f>
        <v>910468.53515625</v>
      </c>
      <c r="I14" s="386">
        <f t="shared" si="6"/>
        <v>967372.81860351563</v>
      </c>
    </row>
    <row r="15" spans="1:9" s="93" customFormat="1" x14ac:dyDescent="0.25">
      <c r="A15" s="96" t="s">
        <v>396</v>
      </c>
      <c r="B15" s="91"/>
      <c r="C15" s="91">
        <v>28200</v>
      </c>
      <c r="D15" s="176">
        <v>20400</v>
      </c>
      <c r="E15" s="239">
        <f t="shared" si="4"/>
        <v>7800</v>
      </c>
      <c r="F15" s="239">
        <v>-7800</v>
      </c>
      <c r="G15" s="158">
        <f t="shared" si="5"/>
        <v>20400</v>
      </c>
      <c r="H15" s="91">
        <v>30145.8</v>
      </c>
      <c r="I15" s="404">
        <v>32225.860199999999</v>
      </c>
    </row>
    <row r="16" spans="1:9" s="272" customFormat="1" x14ac:dyDescent="0.25">
      <c r="A16" s="785" t="s">
        <v>872</v>
      </c>
      <c r="C16" s="752"/>
      <c r="D16" s="752"/>
      <c r="E16" s="752"/>
      <c r="F16" s="752">
        <v>600</v>
      </c>
      <c r="G16" s="158">
        <f t="shared" si="5"/>
        <v>600</v>
      </c>
      <c r="H16" s="752">
        <v>0</v>
      </c>
      <c r="I16" s="752">
        <v>0</v>
      </c>
    </row>
    <row r="17" spans="1:9" s="272" customFormat="1" x14ac:dyDescent="0.25">
      <c r="A17" s="424" t="s">
        <v>41</v>
      </c>
      <c r="B17" s="246">
        <f ca="1">SUM(B12:B25)</f>
        <v>2999222</v>
      </c>
      <c r="C17" s="351">
        <f>SUM(C11:C16)</f>
        <v>1324482.9375</v>
      </c>
      <c r="D17" s="351">
        <f>SUM(D11:D16)</f>
        <v>740328</v>
      </c>
      <c r="E17" s="351">
        <f>SUM(E11:E16)</f>
        <v>584154.9375</v>
      </c>
      <c r="F17" s="351">
        <f t="shared" ref="F17:G17" si="7">SUM(F11:F16)</f>
        <v>-7200</v>
      </c>
      <c r="G17" s="351">
        <f t="shared" si="7"/>
        <v>1317282.9375</v>
      </c>
      <c r="H17" s="351">
        <f>SUM(H11:H16)</f>
        <v>1407446.42109375</v>
      </c>
      <c r="I17" s="351">
        <f>SUM(I11:I16)</f>
        <v>1495607.7701121094</v>
      </c>
    </row>
    <row r="18" spans="1:9" s="272" customFormat="1" x14ac:dyDescent="0.25">
      <c r="A18" s="253"/>
      <c r="B18" s="158"/>
      <c r="C18" s="239"/>
      <c r="D18" s="239"/>
      <c r="E18" s="239"/>
      <c r="F18" s="239"/>
      <c r="G18" s="239"/>
      <c r="H18" s="158"/>
      <c r="I18" s="386"/>
    </row>
    <row r="19" spans="1:9" x14ac:dyDescent="0.25">
      <c r="A19" s="253" t="s">
        <v>211</v>
      </c>
      <c r="B19" s="160">
        <v>237670</v>
      </c>
      <c r="C19" s="158">
        <f>B19*4.5%+B19</f>
        <v>248365.15</v>
      </c>
      <c r="D19" s="239"/>
      <c r="E19" s="239">
        <f t="shared" ref="E19" si="8">C19-D19</f>
        <v>248365.15</v>
      </c>
      <c r="F19" s="239">
        <v>0</v>
      </c>
      <c r="G19" s="158">
        <f t="shared" ref="G19" si="9">C19+F19</f>
        <v>248365.15</v>
      </c>
      <c r="H19" s="158">
        <f>C19*6.25%+C19</f>
        <v>263887.97187499999</v>
      </c>
      <c r="I19" s="386">
        <f>H19*6.25%+H19</f>
        <v>280380.97011718748</v>
      </c>
    </row>
    <row r="20" spans="1:9" x14ac:dyDescent="0.25">
      <c r="A20" s="424" t="s">
        <v>211</v>
      </c>
      <c r="B20" s="246">
        <f>B19</f>
        <v>237670</v>
      </c>
      <c r="C20" s="351">
        <f>C19</f>
        <v>248365.15</v>
      </c>
      <c r="D20" s="351">
        <f>D19</f>
        <v>0</v>
      </c>
      <c r="E20" s="351">
        <f>E19</f>
        <v>248365.15</v>
      </c>
      <c r="F20" s="351">
        <f t="shared" ref="F20:G20" si="10">F19</f>
        <v>0</v>
      </c>
      <c r="G20" s="351">
        <f t="shared" si="10"/>
        <v>248365.15</v>
      </c>
      <c r="H20" s="246">
        <f>H19</f>
        <v>263887.97187499999</v>
      </c>
      <c r="I20" s="387">
        <f>H20*6.25%+H20</f>
        <v>280380.97011718748</v>
      </c>
    </row>
    <row r="21" spans="1:9" x14ac:dyDescent="0.25">
      <c r="A21" s="477"/>
      <c r="B21" s="246"/>
      <c r="C21" s="351"/>
      <c r="D21" s="351"/>
      <c r="E21" s="351"/>
      <c r="F21" s="351"/>
      <c r="G21" s="351"/>
      <c r="H21" s="246"/>
      <c r="I21" s="387"/>
    </row>
    <row r="22" spans="1:9" x14ac:dyDescent="0.25">
      <c r="A22" s="752" t="s">
        <v>20</v>
      </c>
      <c r="B22" s="158">
        <v>99000</v>
      </c>
      <c r="C22" s="158">
        <v>0</v>
      </c>
      <c r="D22" s="239">
        <v>0</v>
      </c>
      <c r="E22" s="239">
        <f t="shared" ref="E22" si="11">C22-D22</f>
        <v>0</v>
      </c>
      <c r="F22" s="239">
        <v>60000</v>
      </c>
      <c r="G22" s="158">
        <f t="shared" ref="G22" si="12">C22+F22</f>
        <v>60000</v>
      </c>
      <c r="H22" s="158">
        <f>C22*6.25%+C22</f>
        <v>0</v>
      </c>
      <c r="I22" s="386">
        <f>H22*6.25%+H22</f>
        <v>0</v>
      </c>
    </row>
    <row r="23" spans="1:9" s="272" customFormat="1" x14ac:dyDescent="0.25">
      <c r="A23" s="757" t="s">
        <v>43</v>
      </c>
      <c r="B23" s="246">
        <f>SUM(B22)</f>
        <v>99000</v>
      </c>
      <c r="C23" s="351">
        <f>SUM(C22)</f>
        <v>0</v>
      </c>
      <c r="D23" s="351">
        <f>SUM(D22)</f>
        <v>0</v>
      </c>
      <c r="E23" s="351">
        <f>SUM(E22)</f>
        <v>0</v>
      </c>
      <c r="F23" s="351">
        <f t="shared" ref="F23:G23" si="13">SUM(F22)</f>
        <v>60000</v>
      </c>
      <c r="G23" s="351">
        <f t="shared" si="13"/>
        <v>60000</v>
      </c>
      <c r="H23" s="246">
        <f>SUM(H22)</f>
        <v>0</v>
      </c>
      <c r="I23" s="387">
        <f>SUM(I22)</f>
        <v>0</v>
      </c>
    </row>
    <row r="24" spans="1:9" s="754" customFormat="1" x14ac:dyDescent="0.25">
      <c r="A24" s="760"/>
      <c r="B24" s="246"/>
      <c r="C24" s="351"/>
      <c r="D24" s="351"/>
      <c r="E24" s="351"/>
      <c r="F24" s="351"/>
      <c r="G24" s="351"/>
      <c r="H24" s="246"/>
      <c r="I24" s="387"/>
    </row>
    <row r="25" spans="1:9" s="272" customFormat="1" x14ac:dyDescent="0.25">
      <c r="A25" s="253" t="s">
        <v>9</v>
      </c>
      <c r="B25" s="158">
        <v>41910</v>
      </c>
      <c r="C25" s="158">
        <f>B25*6.25%+B25</f>
        <v>44529.375</v>
      </c>
      <c r="D25" s="239">
        <v>16470</v>
      </c>
      <c r="E25" s="239">
        <f t="shared" ref="E25:E35" si="14">C25-D25</f>
        <v>28059.375</v>
      </c>
      <c r="F25" s="879">
        <v>-28059</v>
      </c>
      <c r="G25" s="158">
        <f t="shared" ref="G25:G35" si="15">C25+F25</f>
        <v>16470.375</v>
      </c>
      <c r="H25" s="158">
        <f>C25*6.25%+C25</f>
        <v>47312.4609375</v>
      </c>
      <c r="I25" s="386">
        <f>H25*6.25%+H25</f>
        <v>50269.48974609375</v>
      </c>
    </row>
    <row r="26" spans="1:9" s="272" customFormat="1" hidden="1" x14ac:dyDescent="0.25">
      <c r="A26" s="253" t="s">
        <v>741</v>
      </c>
      <c r="B26" s="158">
        <v>950000</v>
      </c>
      <c r="C26" s="158">
        <v>1500000</v>
      </c>
      <c r="D26" s="239">
        <f>18500+26850+2761+2100+70269+1160671</f>
        <v>1281151</v>
      </c>
      <c r="E26" s="239">
        <f t="shared" si="14"/>
        <v>218849</v>
      </c>
      <c r="F26" s="239">
        <v>0</v>
      </c>
      <c r="G26" s="158">
        <f t="shared" si="15"/>
        <v>1500000</v>
      </c>
      <c r="H26" s="158">
        <v>1600000</v>
      </c>
      <c r="I26" s="386">
        <v>1750000</v>
      </c>
    </row>
    <row r="27" spans="1:9" s="272" customFormat="1" x14ac:dyDescent="0.25">
      <c r="A27" s="253" t="s">
        <v>611</v>
      </c>
      <c r="B27" s="254">
        <v>500000</v>
      </c>
      <c r="C27" s="158">
        <v>55000</v>
      </c>
      <c r="D27" s="239"/>
      <c r="E27" s="239">
        <f t="shared" si="14"/>
        <v>55000</v>
      </c>
      <c r="F27" s="239">
        <v>0</v>
      </c>
      <c r="G27" s="158">
        <f t="shared" si="15"/>
        <v>55000</v>
      </c>
      <c r="H27" s="158">
        <v>60000</v>
      </c>
      <c r="I27" s="386">
        <v>75000</v>
      </c>
    </row>
    <row r="28" spans="1:9" s="272" customFormat="1" x14ac:dyDescent="0.25">
      <c r="A28" s="253" t="s">
        <v>612</v>
      </c>
      <c r="B28" s="254">
        <v>400000</v>
      </c>
      <c r="C28" s="158">
        <v>0</v>
      </c>
      <c r="D28" s="239"/>
      <c r="E28" s="239">
        <f t="shared" si="14"/>
        <v>0</v>
      </c>
      <c r="F28" s="239">
        <v>0</v>
      </c>
      <c r="G28" s="158">
        <f t="shared" si="15"/>
        <v>0</v>
      </c>
      <c r="H28" s="158">
        <v>0</v>
      </c>
      <c r="I28" s="386">
        <v>0</v>
      </c>
    </row>
    <row r="29" spans="1:9" s="272" customFormat="1" hidden="1" x14ac:dyDescent="0.25">
      <c r="A29" s="253" t="s">
        <v>59</v>
      </c>
      <c r="B29" s="158">
        <v>4000</v>
      </c>
      <c r="C29" s="158">
        <f t="shared" ref="C29:I31" si="16">B29*6.25%+B29</f>
        <v>4250</v>
      </c>
      <c r="D29" s="239"/>
      <c r="E29" s="239">
        <f t="shared" si="14"/>
        <v>4250</v>
      </c>
      <c r="F29" s="239">
        <v>0</v>
      </c>
      <c r="G29" s="158">
        <f t="shared" si="15"/>
        <v>4250</v>
      </c>
      <c r="H29" s="158">
        <f>C29*6.25%+C29</f>
        <v>4515.625</v>
      </c>
      <c r="I29" s="386">
        <f t="shared" si="16"/>
        <v>4797.8515625</v>
      </c>
    </row>
    <row r="30" spans="1:9" s="272" customFormat="1" x14ac:dyDescent="0.25">
      <c r="A30" s="253" t="s">
        <v>51</v>
      </c>
      <c r="B30" s="158">
        <f>800000/2</f>
        <v>400000</v>
      </c>
      <c r="C30" s="158">
        <f t="shared" si="16"/>
        <v>425000</v>
      </c>
      <c r="D30" s="239">
        <v>12757</v>
      </c>
      <c r="E30" s="239">
        <f t="shared" si="14"/>
        <v>412243</v>
      </c>
      <c r="F30" s="239">
        <v>0</v>
      </c>
      <c r="G30" s="158">
        <f t="shared" si="15"/>
        <v>425000</v>
      </c>
      <c r="H30" s="158">
        <f>C30*6.25%+C30</f>
        <v>451562.5</v>
      </c>
      <c r="I30" s="386">
        <f t="shared" si="16"/>
        <v>479785.15625</v>
      </c>
    </row>
    <row r="31" spans="1:9" s="272" customFormat="1" x14ac:dyDescent="0.25">
      <c r="A31" s="253" t="s">
        <v>397</v>
      </c>
      <c r="B31" s="158"/>
      <c r="C31" s="158">
        <f t="shared" si="16"/>
        <v>0</v>
      </c>
      <c r="D31" s="239"/>
      <c r="E31" s="239">
        <f t="shared" si="14"/>
        <v>0</v>
      </c>
      <c r="F31" s="239">
        <v>0</v>
      </c>
      <c r="G31" s="158">
        <f t="shared" si="15"/>
        <v>0</v>
      </c>
      <c r="H31" s="158">
        <f>C31*6.25%+C31</f>
        <v>0</v>
      </c>
      <c r="I31" s="386">
        <f t="shared" si="16"/>
        <v>0</v>
      </c>
    </row>
    <row r="32" spans="1:9" s="272" customFormat="1" x14ac:dyDescent="0.25">
      <c r="A32" s="253" t="s">
        <v>132</v>
      </c>
      <c r="B32" s="158">
        <v>50000</v>
      </c>
      <c r="C32" s="158">
        <v>70000</v>
      </c>
      <c r="D32" s="239"/>
      <c r="E32" s="239">
        <f t="shared" si="14"/>
        <v>70000</v>
      </c>
      <c r="F32" s="239">
        <v>0</v>
      </c>
      <c r="G32" s="158">
        <f t="shared" si="15"/>
        <v>70000</v>
      </c>
      <c r="H32" s="158">
        <v>78000</v>
      </c>
      <c r="I32" s="386">
        <v>82000</v>
      </c>
    </row>
    <row r="33" spans="1:9" s="272" customFormat="1" x14ac:dyDescent="0.25">
      <c r="A33" s="253" t="s">
        <v>133</v>
      </c>
      <c r="B33" s="158">
        <f>800000-400000</f>
        <v>400000</v>
      </c>
      <c r="C33" s="158">
        <v>600000</v>
      </c>
      <c r="D33" s="239"/>
      <c r="E33" s="239">
        <f t="shared" si="14"/>
        <v>600000</v>
      </c>
      <c r="F33" s="879">
        <f>-500000</f>
        <v>-500000</v>
      </c>
      <c r="G33" s="158">
        <f t="shared" si="15"/>
        <v>100000</v>
      </c>
      <c r="H33" s="158">
        <v>680000</v>
      </c>
      <c r="I33" s="386">
        <v>700000</v>
      </c>
    </row>
    <row r="34" spans="1:9" s="272" customFormat="1" x14ac:dyDescent="0.25">
      <c r="A34" s="253" t="s">
        <v>309</v>
      </c>
      <c r="B34" s="158">
        <v>150000</v>
      </c>
      <c r="C34" s="158">
        <v>450000</v>
      </c>
      <c r="D34" s="239">
        <f>26707+97706</f>
        <v>124413</v>
      </c>
      <c r="E34" s="239">
        <f t="shared" si="14"/>
        <v>325587</v>
      </c>
      <c r="F34" s="879">
        <v>-100000</v>
      </c>
      <c r="G34" s="158">
        <f t="shared" si="15"/>
        <v>350000</v>
      </c>
      <c r="H34" s="158">
        <v>550000</v>
      </c>
      <c r="I34" s="386">
        <v>620000</v>
      </c>
    </row>
    <row r="35" spans="1:9" s="272" customFormat="1" x14ac:dyDescent="0.25">
      <c r="A35" s="253" t="s">
        <v>395</v>
      </c>
      <c r="B35" s="158">
        <v>400000</v>
      </c>
      <c r="C35" s="158">
        <v>500000</v>
      </c>
      <c r="D35" s="239"/>
      <c r="E35" s="239">
        <f t="shared" si="14"/>
        <v>500000</v>
      </c>
      <c r="F35" s="239">
        <v>-400000</v>
      </c>
      <c r="G35" s="158">
        <f t="shared" si="15"/>
        <v>100000</v>
      </c>
      <c r="H35" s="158">
        <v>550000</v>
      </c>
      <c r="I35" s="386">
        <v>600000</v>
      </c>
    </row>
    <row r="36" spans="1:9" s="272" customFormat="1" x14ac:dyDescent="0.25">
      <c r="A36" s="424" t="s">
        <v>42</v>
      </c>
      <c r="B36" s="246">
        <f>SUM(B26:B35)</f>
        <v>3254000</v>
      </c>
      <c r="C36" s="351">
        <f>SUM(C25:C35)</f>
        <v>3648779.375</v>
      </c>
      <c r="D36" s="351">
        <f>SUM(D25:D35)</f>
        <v>1434791</v>
      </c>
      <c r="E36" s="351">
        <f>SUM(E25:E35)</f>
        <v>2213988.375</v>
      </c>
      <c r="F36" s="351">
        <f t="shared" ref="F36:G36" si="17">SUM(F25:F35)</f>
        <v>-1028059</v>
      </c>
      <c r="G36" s="351">
        <f t="shared" si="17"/>
        <v>2620720.375</v>
      </c>
      <c r="H36" s="351">
        <f>SUM(H25:H35)</f>
        <v>4021390.5859375</v>
      </c>
      <c r="I36" s="351">
        <f>SUM(I25:I35)</f>
        <v>4361852.4975585938</v>
      </c>
    </row>
    <row r="37" spans="1:9" x14ac:dyDescent="0.25">
      <c r="A37" s="253"/>
      <c r="B37" s="158"/>
      <c r="C37" s="239"/>
      <c r="D37" s="239"/>
      <c r="E37" s="239"/>
      <c r="F37" s="239"/>
      <c r="G37" s="239"/>
      <c r="H37" s="158"/>
      <c r="I37" s="386"/>
    </row>
    <row r="38" spans="1:9" ht="15.75" thickBot="1" x14ac:dyDescent="0.3">
      <c r="A38" s="426" t="s">
        <v>44</v>
      </c>
      <c r="B38" s="392">
        <f ca="1">B36+B20+B17+B10</f>
        <v>12568863</v>
      </c>
      <c r="C38" s="422">
        <f>C36+C20+C17+C10+C23</f>
        <v>11973932.65</v>
      </c>
      <c r="D38" s="422">
        <f t="shared" ref="D38:G38" si="18">D36+D20+D17+D10+D23</f>
        <v>7015956</v>
      </c>
      <c r="E38" s="422">
        <f t="shared" si="18"/>
        <v>4957976.6500000004</v>
      </c>
      <c r="F38" s="422">
        <f t="shared" si="18"/>
        <v>-225259</v>
      </c>
      <c r="G38" s="422">
        <f t="shared" si="18"/>
        <v>11498673.65</v>
      </c>
      <c r="H38" s="422">
        <f>H36+H20+H17+H10</f>
        <v>12867049.240625</v>
      </c>
      <c r="I38" s="393">
        <f>I36+I20+I17+I10</f>
        <v>13760560.765864063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>
    <oddFooter>&amp;A&amp;RPage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view="pageBreakPreview" topLeftCell="A76" zoomScale="112" zoomScaleNormal="80" zoomScaleSheetLayoutView="112" zoomScalePageLayoutView="70" workbookViewId="0">
      <pane xSplit="1" topLeftCell="B1" activePane="topRight" state="frozen"/>
      <selection pane="topRight" activeCell="A87" sqref="A87"/>
    </sheetView>
  </sheetViews>
  <sheetFormatPr defaultColWidth="8.85546875" defaultRowHeight="15" x14ac:dyDescent="0.25"/>
  <cols>
    <col min="1" max="1" width="41" style="325" customWidth="1"/>
    <col min="2" max="2" width="18.85546875" style="293" customWidth="1"/>
    <col min="3" max="4" width="16" style="327" customWidth="1"/>
    <col min="5" max="7" width="17.28515625" style="325" customWidth="1"/>
    <col min="8" max="8" width="16.7109375" style="325" customWidth="1"/>
    <col min="9" max="9" width="14" style="293" customWidth="1"/>
    <col min="10" max="10" width="14.42578125" style="325" customWidth="1"/>
  </cols>
  <sheetData>
    <row r="1" spans="1:10" s="5" customFormat="1" ht="27" thickBot="1" x14ac:dyDescent="0.45">
      <c r="A1" s="903" t="s">
        <v>114</v>
      </c>
      <c r="B1" s="903"/>
      <c r="C1" s="903"/>
      <c r="D1" s="903"/>
      <c r="E1" s="903"/>
      <c r="F1" s="903"/>
      <c r="G1" s="903"/>
      <c r="H1" s="903"/>
      <c r="I1" s="294"/>
      <c r="J1" s="295"/>
    </row>
    <row r="2" spans="1:10" ht="48.75" customHeight="1" thickBot="1" x14ac:dyDescent="0.3">
      <c r="A2" s="296" t="s">
        <v>89</v>
      </c>
      <c r="B2" s="285" t="s">
        <v>639</v>
      </c>
      <c r="C2" s="286" t="s">
        <v>638</v>
      </c>
      <c r="D2" s="286" t="s">
        <v>637</v>
      </c>
      <c r="E2" s="287" t="s">
        <v>640</v>
      </c>
      <c r="F2" s="287" t="s">
        <v>641</v>
      </c>
      <c r="G2" s="287" t="s">
        <v>637</v>
      </c>
      <c r="H2" s="287" t="s">
        <v>642</v>
      </c>
      <c r="I2" s="289" t="s">
        <v>643</v>
      </c>
      <c r="J2" s="288" t="s">
        <v>637</v>
      </c>
    </row>
    <row r="3" spans="1:10" x14ac:dyDescent="0.25">
      <c r="A3" s="297"/>
      <c r="B3" s="298"/>
      <c r="C3" s="299"/>
      <c r="D3" s="299"/>
      <c r="E3" s="300"/>
      <c r="F3" s="301"/>
      <c r="G3" s="301"/>
      <c r="H3" s="302"/>
      <c r="I3" s="290"/>
      <c r="J3" s="303"/>
    </row>
    <row r="4" spans="1:10" s="9" customFormat="1" x14ac:dyDescent="0.25">
      <c r="A4" s="304" t="s">
        <v>90</v>
      </c>
      <c r="B4" s="305">
        <v>17249572.5</v>
      </c>
      <c r="C4" s="91">
        <f>SUMMARY!L4</f>
        <v>19596420.78125</v>
      </c>
      <c r="D4" s="91">
        <f>C4-B4</f>
        <v>2346848.28125</v>
      </c>
      <c r="E4" s="51">
        <v>19444190.93</v>
      </c>
      <c r="F4" s="177">
        <f>SUMMARY!M4</f>
        <v>21052447.080078125</v>
      </c>
      <c r="G4" s="177">
        <f>F4-E4</f>
        <v>1608256.1500781253</v>
      </c>
      <c r="H4" s="177">
        <v>20714082.919755001</v>
      </c>
      <c r="I4" s="51">
        <f>SUMMARY!N4</f>
        <v>22721350.022583008</v>
      </c>
      <c r="J4" s="52">
        <f>I4-H4</f>
        <v>2007267.1028280072</v>
      </c>
    </row>
    <row r="5" spans="1:10" x14ac:dyDescent="0.25">
      <c r="A5" s="306" t="s">
        <v>91</v>
      </c>
      <c r="B5" s="307">
        <v>30800508</v>
      </c>
      <c r="C5" s="91">
        <f>SUMMARY!L5</f>
        <v>41194285.262500003</v>
      </c>
      <c r="D5" s="91">
        <f t="shared" ref="D5:D68" si="0">C5-B5</f>
        <v>10393777.262500003</v>
      </c>
      <c r="E5" s="308">
        <v>32537450.651999999</v>
      </c>
      <c r="F5" s="309">
        <f>SUMMARY!M5</f>
        <v>42061351.37890625</v>
      </c>
      <c r="G5" s="177">
        <f t="shared" ref="G5:G68" si="1">F5-E5</f>
        <v>9523900.7269062512</v>
      </c>
      <c r="H5" s="309">
        <v>34373274.557388</v>
      </c>
      <c r="I5" s="291">
        <f>SUMMARY!N5</f>
        <v>46745931.743987888</v>
      </c>
      <c r="J5" s="52">
        <f t="shared" ref="J5:J68" si="2">I5-H5</f>
        <v>12372657.186599888</v>
      </c>
    </row>
    <row r="6" spans="1:10" x14ac:dyDescent="0.25">
      <c r="A6" s="306" t="s">
        <v>92</v>
      </c>
      <c r="B6" s="307">
        <v>9297360</v>
      </c>
      <c r="C6" s="91">
        <f>SUMMARY!L6</f>
        <v>9425213.2874999996</v>
      </c>
      <c r="D6" s="91">
        <f t="shared" si="0"/>
        <v>127853.28749999963</v>
      </c>
      <c r="E6" s="308">
        <v>9799417.4400000013</v>
      </c>
      <c r="F6" s="309">
        <f>SUMMARY!M6</f>
        <v>9821191.85546875</v>
      </c>
      <c r="G6" s="177">
        <f t="shared" si="1"/>
        <v>21774.415468748659</v>
      </c>
      <c r="H6" s="309">
        <v>10441303.060559999</v>
      </c>
      <c r="I6" s="291">
        <f>SUMMARY!N6</f>
        <v>7590424.963135547</v>
      </c>
      <c r="J6" s="52">
        <f t="shared" si="2"/>
        <v>-2850878.0974244522</v>
      </c>
    </row>
    <row r="7" spans="1:10" x14ac:dyDescent="0.25">
      <c r="A7" s="304" t="s">
        <v>401</v>
      </c>
      <c r="B7" s="305">
        <v>13326440</v>
      </c>
      <c r="C7" s="91">
        <f>SUMMARY!L7</f>
        <v>12942454.2775</v>
      </c>
      <c r="D7" s="91">
        <f t="shared" si="0"/>
        <v>-383985.72250000015</v>
      </c>
      <c r="E7" s="308">
        <v>14100026.33</v>
      </c>
      <c r="F7" s="309">
        <f>SUMMARY!M7</f>
        <v>14111075.969843749</v>
      </c>
      <c r="G7" s="177">
        <f t="shared" si="1"/>
        <v>11049.639843748882</v>
      </c>
      <c r="H7" s="309">
        <v>14919109.463150002</v>
      </c>
      <c r="I7" s="291">
        <f>SUMMARY!N7</f>
        <v>14683672.401658986</v>
      </c>
      <c r="J7" s="52">
        <f t="shared" si="2"/>
        <v>-235437.0614910163</v>
      </c>
    </row>
    <row r="8" spans="1:10" x14ac:dyDescent="0.25">
      <c r="A8" s="304" t="s">
        <v>405</v>
      </c>
      <c r="B8" s="305">
        <v>6255811</v>
      </c>
      <c r="C8" s="91">
        <f>SUMMARY!L8</f>
        <v>6475739.75</v>
      </c>
      <c r="D8" s="91">
        <f t="shared" si="0"/>
        <v>219928.75</v>
      </c>
      <c r="E8" s="308">
        <v>6648371.9589999998</v>
      </c>
      <c r="F8" s="309">
        <f>SUMMARY!M8</f>
        <v>3549864.0843750001</v>
      </c>
      <c r="G8" s="177">
        <f t="shared" si="1"/>
        <v>-3098507.8746249997</v>
      </c>
      <c r="H8" s="309">
        <v>7065908.7641710006</v>
      </c>
      <c r="I8" s="291">
        <f>SUMMARY!N8</f>
        <v>3771872.3390484378</v>
      </c>
      <c r="J8" s="52">
        <f t="shared" si="2"/>
        <v>-3294036.4251225628</v>
      </c>
    </row>
    <row r="9" spans="1:10" x14ac:dyDescent="0.25">
      <c r="A9" s="304" t="s">
        <v>402</v>
      </c>
      <c r="B9" s="305">
        <v>17230640</v>
      </c>
      <c r="C9" s="91">
        <f>SUMMARY!L9</f>
        <v>13432855.885</v>
      </c>
      <c r="D9" s="91">
        <f t="shared" si="0"/>
        <v>-3797784.1150000002</v>
      </c>
      <c r="E9" s="308">
        <v>18290893.25</v>
      </c>
      <c r="F9" s="309">
        <f>SUMMARY!M9</f>
        <v>13439153.4278125</v>
      </c>
      <c r="G9" s="177">
        <f t="shared" si="1"/>
        <v>-4851739.8221875001</v>
      </c>
      <c r="H9" s="309">
        <v>19417356.285110004</v>
      </c>
      <c r="I9" s="291">
        <f>SUMMARY!N9</f>
        <v>14279213.082750782</v>
      </c>
      <c r="J9" s="52">
        <f t="shared" si="2"/>
        <v>-5138143.2023592219</v>
      </c>
    </row>
    <row r="10" spans="1:10" x14ac:dyDescent="0.25">
      <c r="A10" s="304" t="s">
        <v>403</v>
      </c>
      <c r="B10" s="305">
        <v>6683748</v>
      </c>
      <c r="C10" s="91">
        <f>SUMMARY!L10</f>
        <v>24163295.875</v>
      </c>
      <c r="D10" s="91">
        <f t="shared" si="0"/>
        <v>17479547.875</v>
      </c>
      <c r="E10" s="308">
        <v>7127556.6120000007</v>
      </c>
      <c r="F10" s="309">
        <f>SUMMARY!M10</f>
        <v>109882002.1671875</v>
      </c>
      <c r="G10" s="177">
        <f t="shared" si="1"/>
        <v>102754445.55518749</v>
      </c>
      <c r="H10" s="309">
        <v>7601050.0382280005</v>
      </c>
      <c r="I10" s="291">
        <f>SUMMARY!N10</f>
        <v>107729045.80583672</v>
      </c>
      <c r="J10" s="52">
        <f t="shared" si="2"/>
        <v>100127995.76760872</v>
      </c>
    </row>
    <row r="11" spans="1:10" x14ac:dyDescent="0.25">
      <c r="A11" s="304" t="s">
        <v>404</v>
      </c>
      <c r="B11" s="305">
        <v>5968412</v>
      </c>
      <c r="C11" s="91">
        <f>SUMMARY!L11</f>
        <v>7451064.1875</v>
      </c>
      <c r="D11" s="91">
        <f t="shared" si="0"/>
        <v>1482652.1875</v>
      </c>
      <c r="E11" s="308">
        <v>6411107.4279999994</v>
      </c>
      <c r="F11" s="309">
        <f>SUMMARY!M11</f>
        <v>7702989.5492187496</v>
      </c>
      <c r="G11" s="177">
        <f t="shared" si="1"/>
        <v>1291882.1212187503</v>
      </c>
      <c r="H11" s="309">
        <v>6867107.5905320002</v>
      </c>
      <c r="I11" s="291">
        <f>SUMMARY!N11</f>
        <v>8028318.1454449221</v>
      </c>
      <c r="J11" s="52">
        <f t="shared" si="2"/>
        <v>1161210.554912922</v>
      </c>
    </row>
    <row r="12" spans="1:10" s="9" customFormat="1" x14ac:dyDescent="0.25">
      <c r="A12" s="304" t="s">
        <v>400</v>
      </c>
      <c r="B12" s="305">
        <v>12804950</v>
      </c>
      <c r="C12" s="91">
        <f>SUMMARY!L12</f>
        <v>20171245</v>
      </c>
      <c r="D12" s="91">
        <f t="shared" si="0"/>
        <v>7366295</v>
      </c>
      <c r="E12" s="51">
        <v>10799041.549999999</v>
      </c>
      <c r="F12" s="177">
        <f>SUMMARY!M12</f>
        <v>7944905</v>
      </c>
      <c r="G12" s="177">
        <f t="shared" si="1"/>
        <v>-2854136.5499999989</v>
      </c>
      <c r="H12" s="177">
        <v>11540855.316950001</v>
      </c>
      <c r="I12" s="51">
        <f>SUMMARY!N12</f>
        <v>8400433.8625000007</v>
      </c>
      <c r="J12" s="52">
        <f t="shared" si="2"/>
        <v>-3140421.4544500001</v>
      </c>
    </row>
    <row r="13" spans="1:10" s="9" customFormat="1" x14ac:dyDescent="0.25">
      <c r="A13" s="304" t="s">
        <v>93</v>
      </c>
      <c r="B13" s="305">
        <v>2258156</v>
      </c>
      <c r="C13" s="91">
        <f>SUMMARY!L13</f>
        <v>2478991.58</v>
      </c>
      <c r="D13" s="91">
        <f t="shared" si="0"/>
        <v>220835.58000000007</v>
      </c>
      <c r="E13" s="51">
        <v>2408526.0289999996</v>
      </c>
      <c r="F13" s="177">
        <f>SUMMARY!M13</f>
        <v>2695536.10225</v>
      </c>
      <c r="G13" s="177">
        <f t="shared" si="1"/>
        <v>287010.07325000037</v>
      </c>
      <c r="H13" s="177">
        <v>2568977.6823109998</v>
      </c>
      <c r="I13" s="51">
        <f>SUMMARY!N13</f>
        <v>2864111.1207371252</v>
      </c>
      <c r="J13" s="52">
        <f t="shared" si="2"/>
        <v>295133.43842612533</v>
      </c>
    </row>
    <row r="14" spans="1:10" s="9" customFormat="1" x14ac:dyDescent="0.25">
      <c r="A14" s="304" t="s">
        <v>576</v>
      </c>
      <c r="B14" s="305">
        <v>4480701</v>
      </c>
      <c r="C14" s="91">
        <f>SUMMARY!L14</f>
        <v>4361126.1875</v>
      </c>
      <c r="D14" s="91">
        <f t="shared" si="0"/>
        <v>-119574.8125</v>
      </c>
      <c r="E14" s="51">
        <v>2168389.3689999999</v>
      </c>
      <c r="F14" s="177">
        <f>SUMMARY!M14</f>
        <v>4349383.9742187504</v>
      </c>
      <c r="G14" s="177">
        <f t="shared" si="1"/>
        <v>2180994.6052187504</v>
      </c>
      <c r="H14" s="177">
        <v>2315447.0154610001</v>
      </c>
      <c r="I14" s="51">
        <f>SUMMARY!N14</f>
        <v>4496287.1782074217</v>
      </c>
      <c r="J14" s="52">
        <f t="shared" si="2"/>
        <v>2180840.1627464215</v>
      </c>
    </row>
    <row r="15" spans="1:10" s="9" customFormat="1" x14ac:dyDescent="0.25">
      <c r="A15" s="304" t="s">
        <v>577</v>
      </c>
      <c r="B15" s="305">
        <v>5630701</v>
      </c>
      <c r="C15" s="91">
        <f>SUMMARY!L15</f>
        <v>5918647.875</v>
      </c>
      <c r="D15" s="91">
        <f t="shared" si="0"/>
        <v>287946.875</v>
      </c>
      <c r="E15" s="51">
        <v>2853489.3689999999</v>
      </c>
      <c r="F15" s="177">
        <f>SUMMARY!M15</f>
        <v>8703169.5171875004</v>
      </c>
      <c r="G15" s="177">
        <f t="shared" si="1"/>
        <v>5849680.1481875004</v>
      </c>
      <c r="H15" s="177">
        <v>3037542.4154610005</v>
      </c>
      <c r="I15" s="51">
        <f>SUMMARY!N15</f>
        <v>11930873.567611719</v>
      </c>
      <c r="J15" s="52">
        <f t="shared" si="2"/>
        <v>8893331.1521507185</v>
      </c>
    </row>
    <row r="16" spans="1:10" s="9" customFormat="1" x14ac:dyDescent="0.25">
      <c r="A16" s="304" t="s">
        <v>94</v>
      </c>
      <c r="B16" s="305">
        <v>8927537</v>
      </c>
      <c r="C16" s="91">
        <f>SUMMARY!L16</f>
        <v>17384236.202500001</v>
      </c>
      <c r="D16" s="91">
        <f t="shared" si="0"/>
        <v>8456699.2025000006</v>
      </c>
      <c r="E16" s="51">
        <v>7842260.0479999995</v>
      </c>
      <c r="F16" s="177">
        <f>SUMMARY!M16</f>
        <v>7940509.3401562497</v>
      </c>
      <c r="G16" s="177">
        <f t="shared" si="1"/>
        <v>98249.292156250216</v>
      </c>
      <c r="H16" s="177">
        <v>8292740.9280420002</v>
      </c>
      <c r="I16" s="51">
        <f>SUMMARY!N16</f>
        <v>8693145.4014160149</v>
      </c>
      <c r="J16" s="52">
        <f t="shared" si="2"/>
        <v>400404.47337401472</v>
      </c>
    </row>
    <row r="17" spans="1:10" s="9" customFormat="1" x14ac:dyDescent="0.25">
      <c r="A17" s="304" t="s">
        <v>95</v>
      </c>
      <c r="B17" s="305">
        <v>3610812</v>
      </c>
      <c r="C17" s="91">
        <f>SUMMARY!L17</f>
        <v>3240776.75</v>
      </c>
      <c r="D17" s="91">
        <f t="shared" si="0"/>
        <v>-370035.25</v>
      </c>
      <c r="E17" s="51">
        <v>3847733.0279999999</v>
      </c>
      <c r="F17" s="177">
        <f>SUMMARY!M17</f>
        <v>4175060.0218750001</v>
      </c>
      <c r="G17" s="177">
        <f t="shared" si="1"/>
        <v>327326.99387500016</v>
      </c>
      <c r="H17" s="177">
        <v>4100341.4569319999</v>
      </c>
      <c r="I17" s="51">
        <f>SUMMARY!N17</f>
        <v>4471122.177142188</v>
      </c>
      <c r="J17" s="52">
        <f t="shared" si="2"/>
        <v>370780.72021018807</v>
      </c>
    </row>
    <row r="18" spans="1:10" s="9" customFormat="1" x14ac:dyDescent="0.25">
      <c r="A18" s="304" t="s">
        <v>96</v>
      </c>
      <c r="B18" s="305">
        <v>8163277</v>
      </c>
      <c r="C18" s="91">
        <f>SUMMARY!L18</f>
        <v>6730510.8250000002</v>
      </c>
      <c r="D18" s="91">
        <f t="shared" si="0"/>
        <v>-1432766.1749999998</v>
      </c>
      <c r="E18" s="51">
        <v>8687791.5879999995</v>
      </c>
      <c r="F18" s="177">
        <f>SUMMARY!M18</f>
        <v>8857906.0640625004</v>
      </c>
      <c r="G18" s="177">
        <f t="shared" si="1"/>
        <v>170114.47606250085</v>
      </c>
      <c r="H18" s="177">
        <v>9246405.1002220009</v>
      </c>
      <c r="I18" s="51">
        <f>SUMMARY!N18</f>
        <v>9324233.6480664052</v>
      </c>
      <c r="J18" s="52">
        <f t="shared" si="2"/>
        <v>77828.547844404355</v>
      </c>
    </row>
    <row r="19" spans="1:10" s="9" customFormat="1" x14ac:dyDescent="0.25">
      <c r="A19" s="304" t="s">
        <v>161</v>
      </c>
      <c r="B19" s="305">
        <v>6816637</v>
      </c>
      <c r="C19" s="91">
        <f>SUMMARY!L19</f>
        <v>8295875.0175000001</v>
      </c>
      <c r="D19" s="91">
        <f t="shared" si="0"/>
        <v>1479238.0175000001</v>
      </c>
      <c r="E19" s="51">
        <v>7213087.0929999994</v>
      </c>
      <c r="F19" s="177">
        <f>SUMMARY!M19</f>
        <v>7431767.8810937498</v>
      </c>
      <c r="G19" s="177">
        <f t="shared" si="1"/>
        <v>218680.78809375037</v>
      </c>
      <c r="H19" s="177">
        <v>7632901.7579769995</v>
      </c>
      <c r="I19" s="51">
        <f>SUMMARY!N19</f>
        <v>7885532.5573621094</v>
      </c>
      <c r="J19" s="52">
        <f t="shared" si="2"/>
        <v>252630.79938510992</v>
      </c>
    </row>
    <row r="20" spans="1:10" s="9" customFormat="1" x14ac:dyDescent="0.25">
      <c r="A20" s="304" t="s">
        <v>97</v>
      </c>
      <c r="B20" s="305">
        <v>754611223</v>
      </c>
      <c r="C20" s="91">
        <f>SUMMARY!L20</f>
        <v>1001475626.95</v>
      </c>
      <c r="D20" s="91">
        <f t="shared" si="0"/>
        <v>246864403.95000005</v>
      </c>
      <c r="E20" s="51">
        <v>966283664.21099997</v>
      </c>
      <c r="F20" s="177">
        <f>SUMMARY!M20</f>
        <v>650002192.34687495</v>
      </c>
      <c r="G20" s="177">
        <f t="shared" si="1"/>
        <v>-316281471.86412501</v>
      </c>
      <c r="H20" s="177">
        <v>968090994.86418891</v>
      </c>
      <c r="I20" s="51">
        <f>SUMMARY!N20</f>
        <v>707489829.36855471</v>
      </c>
      <c r="J20" s="52">
        <f t="shared" si="2"/>
        <v>-260601165.4956342</v>
      </c>
    </row>
    <row r="21" spans="1:10" s="9" customFormat="1" x14ac:dyDescent="0.25">
      <c r="A21" s="304" t="s">
        <v>98</v>
      </c>
      <c r="B21" s="305">
        <v>39410850</v>
      </c>
      <c r="C21" s="91">
        <f>SUMMARY!L21</f>
        <v>32924730.375</v>
      </c>
      <c r="D21" s="91">
        <f t="shared" si="0"/>
        <v>-6486119.625</v>
      </c>
      <c r="E21" s="51">
        <v>42832918.650000006</v>
      </c>
      <c r="F21" s="177">
        <f>SUMMARY!M21</f>
        <v>37042268.2734375</v>
      </c>
      <c r="G21" s="177">
        <f t="shared" si="1"/>
        <v>-5790650.376562506</v>
      </c>
      <c r="H21" s="177">
        <v>44911458.216849998</v>
      </c>
      <c r="I21" s="51">
        <f>SUMMARY!N21</f>
        <v>48589832.964123048</v>
      </c>
      <c r="J21" s="52">
        <f t="shared" si="2"/>
        <v>3678374.7472730502</v>
      </c>
    </row>
    <row r="22" spans="1:10" s="9" customFormat="1" x14ac:dyDescent="0.25">
      <c r="A22" s="304" t="s">
        <v>99</v>
      </c>
      <c r="B22" s="305">
        <v>1628918</v>
      </c>
      <c r="C22" s="91">
        <f>SUMMARY!L22</f>
        <v>1798633.125</v>
      </c>
      <c r="D22" s="91">
        <f t="shared" si="0"/>
        <v>169715.125</v>
      </c>
      <c r="E22" s="51">
        <v>1740403.6220000002</v>
      </c>
      <c r="F22" s="177">
        <f>SUMMARY!M22</f>
        <v>3083505.6578124999</v>
      </c>
      <c r="G22" s="177">
        <f t="shared" si="1"/>
        <v>1343102.0358124997</v>
      </c>
      <c r="H22" s="177">
        <v>1859532.6270379999</v>
      </c>
      <c r="I22" s="51">
        <f>SUMMARY!N22</f>
        <v>3413145.6215257812</v>
      </c>
      <c r="J22" s="52">
        <f t="shared" si="2"/>
        <v>1553612.9944877813</v>
      </c>
    </row>
    <row r="23" spans="1:10" s="9" customFormat="1" x14ac:dyDescent="0.25">
      <c r="A23" s="304" t="s">
        <v>100</v>
      </c>
      <c r="B23" s="305">
        <v>8807597</v>
      </c>
      <c r="C23" s="91">
        <f>SUMMARY!L23</f>
        <v>6042123.6900000004</v>
      </c>
      <c r="D23" s="91">
        <f t="shared" si="0"/>
        <v>-2765473.3099999996</v>
      </c>
      <c r="E23" s="51">
        <v>18303648.028000001</v>
      </c>
      <c r="F23" s="177">
        <f>SUMMARY!M23</f>
        <v>8434631.9768749997</v>
      </c>
      <c r="G23" s="177">
        <f t="shared" si="1"/>
        <v>-9869016.0511250012</v>
      </c>
      <c r="H23" s="177">
        <v>8759907.4260220006</v>
      </c>
      <c r="I23" s="51">
        <f>SUMMARY!N23</f>
        <v>8879401.074092187</v>
      </c>
      <c r="J23" s="52">
        <f t="shared" si="2"/>
        <v>119493.64807018638</v>
      </c>
    </row>
    <row r="24" spans="1:10" s="9" customFormat="1" x14ac:dyDescent="0.25">
      <c r="A24" s="304" t="s">
        <v>101</v>
      </c>
      <c r="B24" s="305">
        <v>5987323</v>
      </c>
      <c r="C24" s="91">
        <f>SUMMARY!L24</f>
        <v>13073162.515000001</v>
      </c>
      <c r="D24" s="91">
        <f t="shared" si="0"/>
        <v>7085839.5150000006</v>
      </c>
      <c r="E24" s="51">
        <v>6376793.7820000006</v>
      </c>
      <c r="F24" s="177">
        <f>SUMMARY!M24</f>
        <v>6383291.7221874995</v>
      </c>
      <c r="G24" s="177">
        <f t="shared" si="1"/>
        <v>6497.9401874989271</v>
      </c>
      <c r="H24" s="177">
        <v>6791860.7046880014</v>
      </c>
      <c r="I24" s="51">
        <f>SUMMARY!N24</f>
        <v>6787985.0205242187</v>
      </c>
      <c r="J24" s="52">
        <f t="shared" si="2"/>
        <v>-3875.6841637827456</v>
      </c>
    </row>
    <row r="25" spans="1:10" s="9" customFormat="1" x14ac:dyDescent="0.25">
      <c r="A25" s="304" t="s">
        <v>347</v>
      </c>
      <c r="B25" s="305">
        <v>26810160</v>
      </c>
      <c r="C25" s="91">
        <f>SUMMARY!L25</f>
        <v>36515354.799999997</v>
      </c>
      <c r="D25" s="91">
        <f t="shared" si="0"/>
        <v>9705194.799999997</v>
      </c>
      <c r="E25" s="51">
        <v>50439019.189999998</v>
      </c>
      <c r="F25" s="177">
        <f>SUMMARY!M25</f>
        <v>29553386.800000001</v>
      </c>
      <c r="G25" s="177">
        <f t="shared" si="1"/>
        <v>-20885632.389999997</v>
      </c>
      <c r="H25" s="177">
        <v>34699145.004210003</v>
      </c>
      <c r="I25" s="51">
        <f>SUMMARY!N25</f>
        <v>41096658.551875003</v>
      </c>
      <c r="J25" s="52">
        <f t="shared" si="2"/>
        <v>6397513.547665</v>
      </c>
    </row>
    <row r="26" spans="1:10" s="9" customFormat="1" x14ac:dyDescent="0.25">
      <c r="A26" s="304" t="s">
        <v>348</v>
      </c>
      <c r="B26" s="305">
        <v>10576503</v>
      </c>
      <c r="C26" s="91">
        <f>SUMMARY!L26</f>
        <v>11723598.875</v>
      </c>
      <c r="D26" s="91">
        <f t="shared" si="0"/>
        <v>1147095.875</v>
      </c>
      <c r="E26" s="51">
        <v>11299134.206999999</v>
      </c>
      <c r="F26" s="177">
        <f>SUMMARY!M26</f>
        <v>13501826.9921875</v>
      </c>
      <c r="G26" s="177">
        <f t="shared" si="1"/>
        <v>2202692.7851875015</v>
      </c>
      <c r="H26" s="177">
        <v>12071241.002283003</v>
      </c>
      <c r="I26" s="51">
        <f>SUMMARY!N26</f>
        <v>14345691.179199219</v>
      </c>
      <c r="J26" s="52">
        <f t="shared" si="2"/>
        <v>2274450.1769162156</v>
      </c>
    </row>
    <row r="27" spans="1:10" s="9" customFormat="1" x14ac:dyDescent="0.25">
      <c r="A27" s="304" t="s">
        <v>349</v>
      </c>
      <c r="B27" s="305">
        <v>9693563</v>
      </c>
      <c r="C27" s="91">
        <f>SUMMARY!L27</f>
        <v>17429322.6875</v>
      </c>
      <c r="D27" s="91">
        <f t="shared" si="0"/>
        <v>7735759.6875</v>
      </c>
      <c r="E27" s="51">
        <v>10354971.346999999</v>
      </c>
      <c r="F27" s="177">
        <f>SUMMARY!M27</f>
        <v>11351832.54296875</v>
      </c>
      <c r="G27" s="177">
        <f t="shared" si="1"/>
        <v>996861.19596875086</v>
      </c>
      <c r="H27" s="177">
        <v>11061614.704943001</v>
      </c>
      <c r="I27" s="51">
        <f>SUMMARY!N27</f>
        <v>12061322.076904297</v>
      </c>
      <c r="J27" s="52">
        <f t="shared" si="2"/>
        <v>999707.3719612956</v>
      </c>
    </row>
    <row r="28" spans="1:10" s="9" customFormat="1" x14ac:dyDescent="0.25">
      <c r="A28" s="304" t="s">
        <v>350</v>
      </c>
      <c r="B28" s="305">
        <v>13510312</v>
      </c>
      <c r="C28" s="91">
        <f>SUMMARY!L28</f>
        <v>18351615</v>
      </c>
      <c r="D28" s="91">
        <f t="shared" si="0"/>
        <v>4841303</v>
      </c>
      <c r="E28" s="51">
        <v>14888748.527999999</v>
      </c>
      <c r="F28" s="177">
        <f>SUMMARY!M28</f>
        <v>21891639.9375</v>
      </c>
      <c r="G28" s="177">
        <f t="shared" si="1"/>
        <v>7002891.409500001</v>
      </c>
      <c r="H28" s="177">
        <v>16326756.326431999</v>
      </c>
      <c r="I28" s="51">
        <f>SUMMARY!N28</f>
        <v>20149471.05859375</v>
      </c>
      <c r="J28" s="52">
        <f t="shared" si="2"/>
        <v>3822714.732161751</v>
      </c>
    </row>
    <row r="29" spans="1:10" s="9" customFormat="1" x14ac:dyDescent="0.25">
      <c r="A29" s="304" t="s">
        <v>351</v>
      </c>
      <c r="B29" s="305">
        <v>7113144</v>
      </c>
      <c r="C29" s="91">
        <f>SUMMARY!L29</f>
        <v>10159584</v>
      </c>
      <c r="D29" s="91">
        <f t="shared" si="0"/>
        <v>3046440</v>
      </c>
      <c r="E29" s="51">
        <v>7596428.4360000007</v>
      </c>
      <c r="F29" s="177">
        <f>SUMMARY!M29</f>
        <v>7856171.75</v>
      </c>
      <c r="G29" s="177">
        <f t="shared" si="1"/>
        <v>259743.31399999931</v>
      </c>
      <c r="H29" s="177">
        <v>8112653.2830839995</v>
      </c>
      <c r="I29" s="51">
        <f>SUMMARY!N29</f>
        <v>8341847.78125</v>
      </c>
      <c r="J29" s="52">
        <f t="shared" si="2"/>
        <v>229194.49816600047</v>
      </c>
    </row>
    <row r="30" spans="1:10" s="9" customFormat="1" x14ac:dyDescent="0.25">
      <c r="A30" s="304" t="s">
        <v>102</v>
      </c>
      <c r="B30" s="305">
        <v>22688953</v>
      </c>
      <c r="C30" s="91">
        <f>SUMMARY!L30</f>
        <v>35363588</v>
      </c>
      <c r="D30" s="91">
        <f t="shared" si="0"/>
        <v>12674635</v>
      </c>
      <c r="E30" s="51">
        <v>25450169.307000004</v>
      </c>
      <c r="F30" s="177">
        <f>SUMMARY!M30</f>
        <v>34412628</v>
      </c>
      <c r="G30" s="177">
        <f t="shared" si="1"/>
        <v>8962458.6929999962</v>
      </c>
      <c r="H30" s="177">
        <v>26812548.608968001</v>
      </c>
      <c r="I30" s="51">
        <f>SUMMARY!N30</f>
        <v>23556098.375</v>
      </c>
      <c r="J30" s="52">
        <f t="shared" si="2"/>
        <v>-3256450.2339680009</v>
      </c>
    </row>
    <row r="31" spans="1:10" s="9" customFormat="1" x14ac:dyDescent="0.25">
      <c r="A31" s="304" t="s">
        <v>103</v>
      </c>
      <c r="B31" s="305">
        <v>2601305</v>
      </c>
      <c r="C31" s="91">
        <f>SUMMARY!L31</f>
        <v>2687987.1</v>
      </c>
      <c r="D31" s="91">
        <f t="shared" si="0"/>
        <v>86682.100000000093</v>
      </c>
      <c r="E31" s="51">
        <v>2772891.8449999997</v>
      </c>
      <c r="F31" s="177">
        <f>SUMMARY!M31</f>
        <v>3032570.8125</v>
      </c>
      <c r="G31" s="177">
        <f t="shared" si="1"/>
        <v>259678.96750000026</v>
      </c>
      <c r="H31" s="177">
        <v>2955891.4095049999</v>
      </c>
      <c r="I31" s="51">
        <f>SUMMARY!N31</f>
        <v>3222135.6719812499</v>
      </c>
      <c r="J31" s="52">
        <f t="shared" si="2"/>
        <v>266244.26247625006</v>
      </c>
    </row>
    <row r="32" spans="1:10" s="9" customFormat="1" x14ac:dyDescent="0.25">
      <c r="A32" s="310" t="s">
        <v>104</v>
      </c>
      <c r="B32" s="311">
        <v>21847550</v>
      </c>
      <c r="C32" s="91">
        <f>SUMMARY!L32</f>
        <v>22716393.465</v>
      </c>
      <c r="D32" s="91">
        <f t="shared" si="0"/>
        <v>868843.46499999985</v>
      </c>
      <c r="E32" s="51">
        <v>31561139.895000003</v>
      </c>
      <c r="F32" s="177">
        <f>SUMMARY!M32</f>
        <v>19239088.4565625</v>
      </c>
      <c r="G32" s="177">
        <f t="shared" si="1"/>
        <v>-12322051.438437503</v>
      </c>
      <c r="H32" s="177">
        <v>25002080.266485002</v>
      </c>
      <c r="I32" s="51">
        <f>SUMMARY!N32</f>
        <v>20626973.263697654</v>
      </c>
      <c r="J32" s="52">
        <f t="shared" si="2"/>
        <v>-4375107.0027873479</v>
      </c>
    </row>
    <row r="33" spans="1:10" s="9" customFormat="1" x14ac:dyDescent="0.25">
      <c r="A33" s="304" t="s">
        <v>105</v>
      </c>
      <c r="B33" s="305">
        <v>32761343</v>
      </c>
      <c r="C33" s="91">
        <f>SUMMARY!L33</f>
        <v>34076031.087499999</v>
      </c>
      <c r="D33" s="91">
        <f t="shared" si="0"/>
        <v>1314688.0874999985</v>
      </c>
      <c r="E33" s="51">
        <v>35272839.116999999</v>
      </c>
      <c r="F33" s="177">
        <f>SUMMARY!M33</f>
        <v>31629029.087499999</v>
      </c>
      <c r="G33" s="177">
        <f t="shared" si="1"/>
        <v>-3643810.0295000002</v>
      </c>
      <c r="H33" s="177">
        <v>35438551.392373003</v>
      </c>
      <c r="I33" s="51">
        <f>SUMMARY!N33</f>
        <v>26799171.305468749</v>
      </c>
      <c r="J33" s="52">
        <f t="shared" si="2"/>
        <v>-8639380.0869042538</v>
      </c>
    </row>
    <row r="34" spans="1:10" s="9" customFormat="1" x14ac:dyDescent="0.25">
      <c r="A34" s="304" t="s">
        <v>106</v>
      </c>
      <c r="B34" s="305">
        <v>12723329</v>
      </c>
      <c r="C34" s="91">
        <f>SUMMARY!L34</f>
        <v>14503342.6975</v>
      </c>
      <c r="D34" s="91">
        <f t="shared" si="0"/>
        <v>1780013.6974999998</v>
      </c>
      <c r="E34" s="51">
        <v>13441527.405999999</v>
      </c>
      <c r="F34" s="177">
        <f>SUMMARY!M34</f>
        <v>7245748.0160937505</v>
      </c>
      <c r="G34" s="177">
        <f t="shared" si="1"/>
        <v>-6195779.389906249</v>
      </c>
      <c r="H34" s="177">
        <v>14148046.792084001</v>
      </c>
      <c r="I34" s="51">
        <f>SUMMARY!N34</f>
        <v>7705153.1271996098</v>
      </c>
      <c r="J34" s="52">
        <f t="shared" si="2"/>
        <v>-6442893.6648843912</v>
      </c>
    </row>
    <row r="35" spans="1:10" s="9" customFormat="1" x14ac:dyDescent="0.25">
      <c r="A35" s="312" t="s">
        <v>168</v>
      </c>
      <c r="B35" s="313">
        <v>25853616</v>
      </c>
      <c r="C35" s="91">
        <f>SUMMARY!L35</f>
        <v>23056431.675000001</v>
      </c>
      <c r="D35" s="91">
        <f t="shared" si="0"/>
        <v>-2797184.3249999993</v>
      </c>
      <c r="E35" s="51">
        <v>24840859.778999999</v>
      </c>
      <c r="F35" s="177">
        <f>SUMMARY!M35</f>
        <v>17239703.846093751</v>
      </c>
      <c r="G35" s="177">
        <f t="shared" si="1"/>
        <v>-7601155.9329062477</v>
      </c>
      <c r="H35" s="177">
        <v>26238800.069600999</v>
      </c>
      <c r="I35" s="51">
        <f>SUMMARY!N35</f>
        <v>16020310.336474609</v>
      </c>
      <c r="J35" s="52">
        <f t="shared" si="2"/>
        <v>-10218489.733126391</v>
      </c>
    </row>
    <row r="36" spans="1:10" s="9" customFormat="1" x14ac:dyDescent="0.25">
      <c r="A36" s="304" t="s">
        <v>107</v>
      </c>
      <c r="B36" s="305">
        <v>9699582</v>
      </c>
      <c r="C36" s="91">
        <f>SUMMARY!L36</f>
        <v>8724053.0875000004</v>
      </c>
      <c r="D36" s="91">
        <f t="shared" si="0"/>
        <v>-975528.91249999963</v>
      </c>
      <c r="E36" s="51">
        <v>10284101.607999999</v>
      </c>
      <c r="F36" s="177">
        <f>SUMMARY!M36</f>
        <v>10810840.48671875</v>
      </c>
      <c r="G36" s="177">
        <f t="shared" si="1"/>
        <v>526738.87871875055</v>
      </c>
      <c r="H36" s="177">
        <v>10960712.785252001</v>
      </c>
      <c r="I36" s="51">
        <f>SUMMARY!N36</f>
        <v>11509838.964838672</v>
      </c>
      <c r="J36" s="52">
        <f t="shared" si="2"/>
        <v>549126.17958667129</v>
      </c>
    </row>
    <row r="37" spans="1:10" s="9" customFormat="1" x14ac:dyDescent="0.25">
      <c r="A37" s="304" t="s">
        <v>108</v>
      </c>
      <c r="B37" s="305">
        <v>12231813</v>
      </c>
      <c r="C37" s="91">
        <f>SUMMARY!L37</f>
        <v>11498673.65</v>
      </c>
      <c r="D37" s="91">
        <f t="shared" si="0"/>
        <v>-733139.34999999963</v>
      </c>
      <c r="E37" s="51">
        <v>12080573.046999998</v>
      </c>
      <c r="F37" s="177">
        <f>SUMMARY!M37</f>
        <v>12867049.240625</v>
      </c>
      <c r="G37" s="177">
        <f t="shared" si="1"/>
        <v>786476.19362500124</v>
      </c>
      <c r="H37" s="177">
        <v>13029093.154543001</v>
      </c>
      <c r="I37" s="51">
        <f>SUMMARY!N37</f>
        <v>13760560.765864063</v>
      </c>
      <c r="J37" s="52">
        <f t="shared" si="2"/>
        <v>731467.61132106185</v>
      </c>
    </row>
    <row r="38" spans="1:10" s="9" customFormat="1" x14ac:dyDescent="0.25">
      <c r="A38" s="304" t="s">
        <v>109</v>
      </c>
      <c r="B38" s="305">
        <v>588993</v>
      </c>
      <c r="C38" s="91">
        <f>SUMMARY!L38</f>
        <v>753659.0625</v>
      </c>
      <c r="D38" s="91">
        <f t="shared" si="0"/>
        <v>164666.0625</v>
      </c>
      <c r="E38" s="51">
        <v>629446.01700000011</v>
      </c>
      <c r="F38" s="177">
        <f>SUMMARY!M38</f>
        <v>697703.44140625</v>
      </c>
      <c r="G38" s="177">
        <f t="shared" si="1"/>
        <v>68257.424406249891</v>
      </c>
      <c r="H38" s="177">
        <v>672680.16717300005</v>
      </c>
      <c r="I38" s="51">
        <f>SUMMARY!N38</f>
        <v>741309.90649414063</v>
      </c>
      <c r="J38" s="52">
        <f t="shared" si="2"/>
        <v>68629.739321140572</v>
      </c>
    </row>
    <row r="39" spans="1:10" s="9" customFormat="1" x14ac:dyDescent="0.25">
      <c r="A39" s="304" t="s">
        <v>625</v>
      </c>
      <c r="B39" s="305">
        <v>2265918</v>
      </c>
      <c r="C39" s="91">
        <f>SUMMARY!L39</f>
        <v>1880382.3125</v>
      </c>
      <c r="D39" s="91">
        <f t="shared" si="0"/>
        <v>-385535.6875</v>
      </c>
      <c r="E39" s="51">
        <v>2827661.3420000002</v>
      </c>
      <c r="F39" s="177">
        <f>SUMMARY!M39</f>
        <v>5546127.7320312504</v>
      </c>
      <c r="G39" s="177">
        <f t="shared" si="1"/>
        <v>2718466.3900312502</v>
      </c>
      <c r="H39" s="177">
        <v>3047054.1045980002</v>
      </c>
      <c r="I39" s="51">
        <f>SUMMARY!N39</f>
        <v>5816152.5128832031</v>
      </c>
      <c r="J39" s="52">
        <f t="shared" si="2"/>
        <v>2769098.4082852029</v>
      </c>
    </row>
    <row r="40" spans="1:10" s="9" customFormat="1" x14ac:dyDescent="0.25">
      <c r="A40" s="304" t="s">
        <v>110</v>
      </c>
      <c r="B40" s="305">
        <v>1159912</v>
      </c>
      <c r="C40" s="91">
        <f>SUMMARY!L40</f>
        <v>1164077.125</v>
      </c>
      <c r="D40" s="91">
        <f t="shared" si="0"/>
        <v>4165.125</v>
      </c>
      <c r="E40" s="51">
        <v>1236795.9280000001</v>
      </c>
      <c r="F40" s="177">
        <f>SUMMARY!M40</f>
        <v>1683790.7953125001</v>
      </c>
      <c r="G40" s="177">
        <f t="shared" si="1"/>
        <v>446994.86731250002</v>
      </c>
      <c r="H40" s="177">
        <v>1318814.7470320002</v>
      </c>
      <c r="I40" s="51">
        <f>SUMMARY!N40</f>
        <v>1792502.7419195313</v>
      </c>
      <c r="J40" s="52">
        <f t="shared" si="2"/>
        <v>473687.99488753104</v>
      </c>
    </row>
    <row r="41" spans="1:10" s="9" customFormat="1" x14ac:dyDescent="0.25">
      <c r="A41" s="304" t="s">
        <v>111</v>
      </c>
      <c r="B41" s="305">
        <v>1340912</v>
      </c>
      <c r="C41" s="91">
        <f>SUMMARY!L41</f>
        <v>1355077.125</v>
      </c>
      <c r="D41" s="91">
        <f t="shared" si="0"/>
        <v>14165.125</v>
      </c>
      <c r="E41" s="51">
        <v>1427569.9280000001</v>
      </c>
      <c r="F41" s="177">
        <f>SUMMARY!M41</f>
        <v>1991665.7953125001</v>
      </c>
      <c r="G41" s="177">
        <f t="shared" si="1"/>
        <v>564095.86731250002</v>
      </c>
      <c r="H41" s="177">
        <v>1519890.5430320001</v>
      </c>
      <c r="I41" s="51">
        <f>SUMMARY!N41</f>
        <v>2258119.9294195315</v>
      </c>
      <c r="J41" s="52">
        <f t="shared" si="2"/>
        <v>738229.38638753141</v>
      </c>
    </row>
    <row r="42" spans="1:10" s="9" customFormat="1" x14ac:dyDescent="0.25">
      <c r="A42" s="304" t="s">
        <v>112</v>
      </c>
      <c r="B42" s="305">
        <v>1550012</v>
      </c>
      <c r="C42" s="91">
        <f>SUMMARY!L42</f>
        <v>2280745.375</v>
      </c>
      <c r="D42" s="91">
        <f t="shared" si="0"/>
        <v>730733.375</v>
      </c>
      <c r="E42" s="51">
        <v>1647961.3280000002</v>
      </c>
      <c r="F42" s="177">
        <f>SUMMARY!M42</f>
        <v>3083263.0609375001</v>
      </c>
      <c r="G42" s="177">
        <f t="shared" si="1"/>
        <v>1435301.7329374999</v>
      </c>
      <c r="H42" s="177">
        <v>1752183.0786320001</v>
      </c>
      <c r="I42" s="51">
        <f>SUMMARY!N42</f>
        <v>3589442.024146094</v>
      </c>
      <c r="J42" s="52">
        <f t="shared" si="2"/>
        <v>1837258.9455140939</v>
      </c>
    </row>
    <row r="43" spans="1:10" x14ac:dyDescent="0.25">
      <c r="A43" s="306" t="s">
        <v>128</v>
      </c>
      <c r="B43" s="307">
        <v>454295000.00000012</v>
      </c>
      <c r="C43" s="91">
        <f>SUMMARY!L43</f>
        <v>596649973.09350002</v>
      </c>
      <c r="D43" s="91">
        <f t="shared" si="0"/>
        <v>142354973.0934999</v>
      </c>
      <c r="E43" s="51">
        <v>422916423.05500001</v>
      </c>
      <c r="F43" s="177">
        <f>SUMMARY!M43</f>
        <v>25575065.57453125</v>
      </c>
      <c r="G43" s="177">
        <f t="shared" si="1"/>
        <v>-397341357.48046875</v>
      </c>
      <c r="H43" s="177">
        <v>381108307.68726498</v>
      </c>
      <c r="I43" s="291">
        <f>SUMMARY!N43</f>
        <v>27173507.17293945</v>
      </c>
      <c r="J43" s="52">
        <f t="shared" si="2"/>
        <v>-353934800.5143255</v>
      </c>
    </row>
    <row r="44" spans="1:10" x14ac:dyDescent="0.25">
      <c r="A44" s="306" t="s">
        <v>321</v>
      </c>
      <c r="B44" s="307">
        <v>120000</v>
      </c>
      <c r="C44" s="91">
        <f>SUMMARY!L44</f>
        <v>127500</v>
      </c>
      <c r="D44" s="91">
        <f t="shared" si="0"/>
        <v>7500</v>
      </c>
      <c r="E44" s="51">
        <v>126480</v>
      </c>
      <c r="F44" s="177">
        <f>SUMMARY!M44</f>
        <v>135468.75</v>
      </c>
      <c r="G44" s="177">
        <f t="shared" si="1"/>
        <v>8988.75</v>
      </c>
      <c r="H44" s="177">
        <v>133309.92000000001</v>
      </c>
      <c r="I44" s="291">
        <f>SUMMARY!N44</f>
        <v>143935.546875</v>
      </c>
      <c r="J44" s="52">
        <f t="shared" si="2"/>
        <v>10625.626874999987</v>
      </c>
    </row>
    <row r="45" spans="1:10" x14ac:dyDescent="0.25">
      <c r="A45" s="306" t="s">
        <v>322</v>
      </c>
      <c r="B45" s="307">
        <v>100000</v>
      </c>
      <c r="C45" s="91">
        <f>SUMMARY!L45</f>
        <v>0</v>
      </c>
      <c r="D45" s="91">
        <f t="shared" si="0"/>
        <v>-100000</v>
      </c>
      <c r="E45" s="51">
        <v>105400</v>
      </c>
      <c r="F45" s="177">
        <f>SUMMARY!M45</f>
        <v>112890.625</v>
      </c>
      <c r="G45" s="177">
        <f t="shared" si="1"/>
        <v>7490.625</v>
      </c>
      <c r="H45" s="177">
        <v>111091.6</v>
      </c>
      <c r="I45" s="291">
        <f>SUMMARY!N45</f>
        <v>119946.2890625</v>
      </c>
      <c r="J45" s="52">
        <f t="shared" si="2"/>
        <v>8854.6890624999942</v>
      </c>
    </row>
    <row r="46" spans="1:10" x14ac:dyDescent="0.25">
      <c r="A46" s="306" t="s">
        <v>323</v>
      </c>
      <c r="B46" s="307">
        <v>112000</v>
      </c>
      <c r="C46" s="91">
        <f>SUMMARY!L46</f>
        <v>0</v>
      </c>
      <c r="D46" s="91">
        <f t="shared" si="0"/>
        <v>-112000</v>
      </c>
      <c r="E46" s="51">
        <v>118048</v>
      </c>
      <c r="F46" s="177">
        <f>SUMMARY!M46</f>
        <v>126437.5</v>
      </c>
      <c r="G46" s="177">
        <f t="shared" si="1"/>
        <v>8389.5</v>
      </c>
      <c r="H46" s="177">
        <v>124422.592</v>
      </c>
      <c r="I46" s="291">
        <f>SUMMARY!N46</f>
        <v>134339.84375</v>
      </c>
      <c r="J46" s="52">
        <f t="shared" si="2"/>
        <v>9917.2517499999958</v>
      </c>
    </row>
    <row r="47" spans="1:10" x14ac:dyDescent="0.25">
      <c r="A47" s="306" t="s">
        <v>324</v>
      </c>
      <c r="B47" s="307">
        <v>120000</v>
      </c>
      <c r="C47" s="91">
        <f>SUMMARY!L47</f>
        <v>2550</v>
      </c>
      <c r="D47" s="91">
        <f t="shared" si="0"/>
        <v>-117450</v>
      </c>
      <c r="E47" s="51">
        <v>126480</v>
      </c>
      <c r="F47" s="177">
        <f>SUMMARY!M47</f>
        <v>135468.75</v>
      </c>
      <c r="G47" s="177">
        <f t="shared" si="1"/>
        <v>8988.75</v>
      </c>
      <c r="H47" s="177">
        <v>133309.92000000001</v>
      </c>
      <c r="I47" s="291">
        <f>SUMMARY!N47</f>
        <v>143935.546875</v>
      </c>
      <c r="J47" s="52">
        <f t="shared" si="2"/>
        <v>10625.626874999987</v>
      </c>
    </row>
    <row r="48" spans="1:10" x14ac:dyDescent="0.25">
      <c r="A48" s="306" t="s">
        <v>325</v>
      </c>
      <c r="B48" s="307">
        <v>100000</v>
      </c>
      <c r="C48" s="91">
        <f>SUMMARY!L48</f>
        <v>0</v>
      </c>
      <c r="D48" s="91">
        <f t="shared" si="0"/>
        <v>-100000</v>
      </c>
      <c r="E48" s="51">
        <v>105400</v>
      </c>
      <c r="F48" s="177">
        <f>SUMMARY!M48</f>
        <v>112890.625</v>
      </c>
      <c r="G48" s="177">
        <f t="shared" si="1"/>
        <v>7490.625</v>
      </c>
      <c r="H48" s="177">
        <v>111091.6</v>
      </c>
      <c r="I48" s="291">
        <f>SUMMARY!N48</f>
        <v>119946.2890625</v>
      </c>
      <c r="J48" s="52">
        <f t="shared" si="2"/>
        <v>8854.6890624999942</v>
      </c>
    </row>
    <row r="49" spans="1:10" x14ac:dyDescent="0.25">
      <c r="A49" s="306" t="s">
        <v>326</v>
      </c>
      <c r="B49" s="307">
        <v>187000</v>
      </c>
      <c r="C49" s="91">
        <f>SUMMARY!L49</f>
        <v>0</v>
      </c>
      <c r="D49" s="91">
        <f t="shared" si="0"/>
        <v>-187000</v>
      </c>
      <c r="E49" s="51">
        <v>197098</v>
      </c>
      <c r="F49" s="177">
        <f>SUMMARY!M49</f>
        <v>211105.46875</v>
      </c>
      <c r="G49" s="177">
        <f t="shared" si="1"/>
        <v>14007.46875</v>
      </c>
      <c r="H49" s="177">
        <v>207741.29200000002</v>
      </c>
      <c r="I49" s="291">
        <f>SUMMARY!N49</f>
        <v>224299.560546875</v>
      </c>
      <c r="J49" s="52">
        <f t="shared" si="2"/>
        <v>16558.268546874984</v>
      </c>
    </row>
    <row r="50" spans="1:10" x14ac:dyDescent="0.25">
      <c r="A50" s="306" t="s">
        <v>328</v>
      </c>
      <c r="B50" s="307">
        <v>60000</v>
      </c>
      <c r="C50" s="91">
        <f>SUMMARY!L50</f>
        <v>0</v>
      </c>
      <c r="D50" s="91">
        <f t="shared" si="0"/>
        <v>-60000</v>
      </c>
      <c r="E50" s="51">
        <v>63240</v>
      </c>
      <c r="F50" s="51">
        <f>SUMMARY!M50</f>
        <v>67734.375</v>
      </c>
      <c r="G50" s="177">
        <f t="shared" si="1"/>
        <v>4494.375</v>
      </c>
      <c r="H50" s="177">
        <v>66654.960000000006</v>
      </c>
      <c r="I50" s="291">
        <f>SUMMARY!N50</f>
        <v>71967.7734375</v>
      </c>
      <c r="J50" s="52">
        <f t="shared" si="2"/>
        <v>5312.8134374999936</v>
      </c>
    </row>
    <row r="51" spans="1:10" x14ac:dyDescent="0.25">
      <c r="A51" s="306" t="s">
        <v>329</v>
      </c>
      <c r="B51" s="307">
        <v>130000</v>
      </c>
      <c r="C51" s="91">
        <f>SUMMARY!L51</f>
        <v>0</v>
      </c>
      <c r="D51" s="91">
        <f t="shared" si="0"/>
        <v>-130000</v>
      </c>
      <c r="E51" s="51">
        <v>137020</v>
      </c>
      <c r="F51" s="177">
        <f>SUMMARY!M51</f>
        <v>146757.8125</v>
      </c>
      <c r="G51" s="177">
        <f t="shared" si="1"/>
        <v>9737.8125</v>
      </c>
      <c r="H51" s="177">
        <v>144419.07999999999</v>
      </c>
      <c r="I51" s="291">
        <f>SUMMARY!N51</f>
        <v>155930.17578125</v>
      </c>
      <c r="J51" s="52">
        <f t="shared" si="2"/>
        <v>11511.095781250013</v>
      </c>
    </row>
    <row r="52" spans="1:10" x14ac:dyDescent="0.25">
      <c r="A52" s="306" t="s">
        <v>330</v>
      </c>
      <c r="B52" s="307">
        <v>30000</v>
      </c>
      <c r="C52" s="91">
        <f>SUMMARY!L52</f>
        <v>0</v>
      </c>
      <c r="D52" s="91">
        <f t="shared" si="0"/>
        <v>-30000</v>
      </c>
      <c r="E52" s="51">
        <v>31620</v>
      </c>
      <c r="F52" s="177">
        <f>SUMMARY!M52</f>
        <v>33867.1875</v>
      </c>
      <c r="G52" s="177">
        <f t="shared" si="1"/>
        <v>2247.1875</v>
      </c>
      <c r="H52" s="177">
        <v>33327.480000000003</v>
      </c>
      <c r="I52" s="291">
        <f>SUMMARY!N52</f>
        <v>35983.88671875</v>
      </c>
      <c r="J52" s="52">
        <f t="shared" si="2"/>
        <v>2656.4067187499968</v>
      </c>
    </row>
    <row r="53" spans="1:10" x14ac:dyDescent="0.25">
      <c r="A53" s="306" t="s">
        <v>331</v>
      </c>
      <c r="B53" s="307">
        <v>30200000</v>
      </c>
      <c r="C53" s="91">
        <f>SUMMARY!L53</f>
        <v>0</v>
      </c>
      <c r="D53" s="91">
        <f t="shared" si="0"/>
        <v>-30200000</v>
      </c>
      <c r="E53" s="51">
        <v>31830800</v>
      </c>
      <c r="F53" s="177">
        <f>SUMMARY!M53</f>
        <v>1434375</v>
      </c>
      <c r="G53" s="177">
        <f t="shared" si="1"/>
        <v>-30396425</v>
      </c>
      <c r="H53" s="177">
        <v>33549663.199999999</v>
      </c>
      <c r="I53" s="291">
        <f>SUMMARY!N53</f>
        <v>1524023.4375</v>
      </c>
      <c r="J53" s="52">
        <f t="shared" si="2"/>
        <v>-32025639.762499999</v>
      </c>
    </row>
    <row r="54" spans="1:10" x14ac:dyDescent="0.25">
      <c r="A54" s="306" t="s">
        <v>332</v>
      </c>
      <c r="B54" s="307">
        <v>50000</v>
      </c>
      <c r="C54" s="91">
        <f>SUMMARY!L54</f>
        <v>0</v>
      </c>
      <c r="D54" s="91">
        <f t="shared" si="0"/>
        <v>-50000</v>
      </c>
      <c r="E54" s="51">
        <v>52700</v>
      </c>
      <c r="F54" s="177">
        <f>SUMMARY!M54</f>
        <v>56445.3125</v>
      </c>
      <c r="G54" s="177">
        <f t="shared" si="1"/>
        <v>3745.3125</v>
      </c>
      <c r="H54" s="177">
        <v>55545.8</v>
      </c>
      <c r="I54" s="291">
        <f>SUMMARY!N54</f>
        <v>59973.14453125</v>
      </c>
      <c r="J54" s="52">
        <f t="shared" si="2"/>
        <v>4427.3445312499971</v>
      </c>
    </row>
    <row r="55" spans="1:10" x14ac:dyDescent="0.25">
      <c r="A55" s="306" t="s">
        <v>333</v>
      </c>
      <c r="B55" s="307">
        <v>270000</v>
      </c>
      <c r="C55" s="91">
        <f>SUMMARY!L55</f>
        <v>0</v>
      </c>
      <c r="D55" s="91">
        <f t="shared" si="0"/>
        <v>-270000</v>
      </c>
      <c r="E55" s="51">
        <v>284580</v>
      </c>
      <c r="F55" s="177">
        <f>SUMMARY!M55</f>
        <v>304804.6875</v>
      </c>
      <c r="G55" s="177">
        <f t="shared" si="1"/>
        <v>20224.6875</v>
      </c>
      <c r="H55" s="177">
        <v>299947.32</v>
      </c>
      <c r="I55" s="291">
        <f>SUMMARY!N55</f>
        <v>323854.98046875</v>
      </c>
      <c r="J55" s="52">
        <f t="shared" si="2"/>
        <v>23907.660468749993</v>
      </c>
    </row>
    <row r="56" spans="1:10" x14ac:dyDescent="0.25">
      <c r="A56" s="306" t="s">
        <v>334</v>
      </c>
      <c r="B56" s="307">
        <v>50000</v>
      </c>
      <c r="C56" s="91">
        <f>SUMMARY!L56</f>
        <v>0</v>
      </c>
      <c r="D56" s="91">
        <f t="shared" si="0"/>
        <v>-50000</v>
      </c>
      <c r="E56" s="51">
        <v>52700</v>
      </c>
      <c r="F56" s="177">
        <f>SUMMARY!M56</f>
        <v>56445.3125</v>
      </c>
      <c r="G56" s="177">
        <f t="shared" si="1"/>
        <v>3745.3125</v>
      </c>
      <c r="H56" s="177">
        <v>55545.8</v>
      </c>
      <c r="I56" s="291">
        <f>SUMMARY!N56</f>
        <v>59973.14453125</v>
      </c>
      <c r="J56" s="52">
        <f t="shared" si="2"/>
        <v>4427.3445312499971</v>
      </c>
    </row>
    <row r="57" spans="1:10" x14ac:dyDescent="0.25">
      <c r="A57" s="306" t="s">
        <v>335</v>
      </c>
      <c r="B57" s="307">
        <v>30000</v>
      </c>
      <c r="C57" s="91">
        <f>SUMMARY!L57</f>
        <v>0</v>
      </c>
      <c r="D57" s="91">
        <f t="shared" si="0"/>
        <v>-30000</v>
      </c>
      <c r="E57" s="51">
        <v>0</v>
      </c>
      <c r="F57" s="177">
        <v>0</v>
      </c>
      <c r="G57" s="177">
        <f t="shared" si="1"/>
        <v>0</v>
      </c>
      <c r="H57" s="177">
        <v>0</v>
      </c>
      <c r="I57" s="291">
        <v>0</v>
      </c>
      <c r="J57" s="52">
        <f t="shared" si="2"/>
        <v>0</v>
      </c>
    </row>
    <row r="58" spans="1:10" x14ac:dyDescent="0.25">
      <c r="A58" s="306" t="s">
        <v>336</v>
      </c>
      <c r="B58" s="307">
        <v>30000</v>
      </c>
      <c r="C58" s="91">
        <f>SUMMARY!L58</f>
        <v>0</v>
      </c>
      <c r="D58" s="91">
        <f t="shared" si="0"/>
        <v>-30000</v>
      </c>
      <c r="E58" s="51">
        <v>31620</v>
      </c>
      <c r="F58" s="177">
        <f>SUMMARY!M58</f>
        <v>33867.1875</v>
      </c>
      <c r="G58" s="177">
        <f t="shared" si="1"/>
        <v>2247.1875</v>
      </c>
      <c r="H58" s="177">
        <v>33327.479999999996</v>
      </c>
      <c r="I58" s="291">
        <f>SUMMARY!N58</f>
        <v>35983.88671875</v>
      </c>
      <c r="J58" s="52">
        <f t="shared" si="2"/>
        <v>2656.4067187500041</v>
      </c>
    </row>
    <row r="59" spans="1:10" x14ac:dyDescent="0.25">
      <c r="A59" s="306" t="s">
        <v>337</v>
      </c>
      <c r="B59" s="307">
        <v>70000</v>
      </c>
      <c r="C59" s="91">
        <f>SUMMARY!L59</f>
        <v>0</v>
      </c>
      <c r="D59" s="91">
        <f t="shared" si="0"/>
        <v>-70000</v>
      </c>
      <c r="E59" s="51">
        <v>73780</v>
      </c>
      <c r="F59" s="177">
        <f>SUMMARY!M59</f>
        <v>79023.4375</v>
      </c>
      <c r="G59" s="177">
        <f t="shared" si="1"/>
        <v>5243.4375</v>
      </c>
      <c r="H59" s="177">
        <v>77764.12</v>
      </c>
      <c r="I59" s="291">
        <f>SUMMARY!N59</f>
        <v>83962.40234375</v>
      </c>
      <c r="J59" s="52">
        <f t="shared" si="2"/>
        <v>6198.2823437500047</v>
      </c>
    </row>
    <row r="60" spans="1:10" x14ac:dyDescent="0.25">
      <c r="A60" s="306" t="s">
        <v>338</v>
      </c>
      <c r="B60" s="307">
        <v>120000</v>
      </c>
      <c r="C60" s="91">
        <f>SUMMARY!L60</f>
        <v>0</v>
      </c>
      <c r="D60" s="91">
        <f t="shared" si="0"/>
        <v>-120000</v>
      </c>
      <c r="E60" s="51">
        <v>126480</v>
      </c>
      <c r="F60" s="177">
        <f>SUMMARY!M60</f>
        <v>135468.75</v>
      </c>
      <c r="G60" s="177">
        <f t="shared" si="1"/>
        <v>8988.75</v>
      </c>
      <c r="H60" s="177">
        <v>133309.92000000001</v>
      </c>
      <c r="I60" s="291">
        <f>SUMMARY!N60</f>
        <v>143935.546875</v>
      </c>
      <c r="J60" s="52">
        <f t="shared" si="2"/>
        <v>10625.626874999987</v>
      </c>
    </row>
    <row r="61" spans="1:10" x14ac:dyDescent="0.25">
      <c r="A61" s="306" t="s">
        <v>339</v>
      </c>
      <c r="B61" s="307">
        <v>50000</v>
      </c>
      <c r="C61" s="91">
        <f>SUMMARY!L61</f>
        <v>0</v>
      </c>
      <c r="D61" s="91">
        <f t="shared" si="0"/>
        <v>-50000</v>
      </c>
      <c r="E61" s="51">
        <v>737800</v>
      </c>
      <c r="F61" s="177">
        <f>SUMMARY!M61</f>
        <v>783912.5</v>
      </c>
      <c r="G61" s="177">
        <f t="shared" si="1"/>
        <v>46112.5</v>
      </c>
      <c r="H61" s="177">
        <v>777641.2</v>
      </c>
      <c r="I61" s="291">
        <f>SUMMARY!N61</f>
        <v>832907.03125</v>
      </c>
      <c r="J61" s="52">
        <f t="shared" si="2"/>
        <v>55265.831250000047</v>
      </c>
    </row>
    <row r="62" spans="1:10" x14ac:dyDescent="0.25">
      <c r="A62" s="306" t="s">
        <v>340</v>
      </c>
      <c r="B62" s="307">
        <v>30420000</v>
      </c>
      <c r="C62" s="91">
        <f>SUMMARY!L62</f>
        <v>21250</v>
      </c>
      <c r="D62" s="91">
        <f t="shared" si="0"/>
        <v>-30398750</v>
      </c>
      <c r="E62" s="51">
        <v>32062680</v>
      </c>
      <c r="F62" s="177">
        <f>SUMMARY!M62</f>
        <v>1403828.125</v>
      </c>
      <c r="G62" s="177">
        <f t="shared" si="1"/>
        <v>-30658851.875</v>
      </c>
      <c r="H62" s="177">
        <v>33794064.719999999</v>
      </c>
      <c r="I62" s="291">
        <f>SUMMARY!N62</f>
        <v>1491567.3828125</v>
      </c>
      <c r="J62" s="52">
        <f t="shared" si="2"/>
        <v>-32302497.337187499</v>
      </c>
    </row>
    <row r="63" spans="1:10" x14ac:dyDescent="0.25">
      <c r="A63" s="306" t="s">
        <v>354</v>
      </c>
      <c r="B63" s="307">
        <v>50000</v>
      </c>
      <c r="C63" s="91">
        <f>SUMMARY!L63</f>
        <v>0</v>
      </c>
      <c r="D63" s="91">
        <f t="shared" si="0"/>
        <v>-50000</v>
      </c>
      <c r="E63" s="51">
        <v>52700</v>
      </c>
      <c r="F63" s="177">
        <f>SUMMARY!M63</f>
        <v>56445.3125</v>
      </c>
      <c r="G63" s="177">
        <f t="shared" si="1"/>
        <v>3745.3125</v>
      </c>
      <c r="H63" s="177">
        <v>55545.8</v>
      </c>
      <c r="I63" s="291">
        <f>SUMMARY!N63</f>
        <v>59973.14453125</v>
      </c>
      <c r="J63" s="52">
        <f t="shared" si="2"/>
        <v>4427.3445312499971</v>
      </c>
    </row>
    <row r="64" spans="1:10" x14ac:dyDescent="0.25">
      <c r="A64" s="306" t="s">
        <v>355</v>
      </c>
      <c r="B64" s="307">
        <v>50000</v>
      </c>
      <c r="C64" s="91">
        <f>SUMMARY!L64</f>
        <v>0</v>
      </c>
      <c r="D64" s="91">
        <f t="shared" si="0"/>
        <v>-50000</v>
      </c>
      <c r="E64" s="51">
        <v>52700</v>
      </c>
      <c r="F64" s="177">
        <f>SUMMARY!M64</f>
        <v>56445.3125</v>
      </c>
      <c r="G64" s="177">
        <f t="shared" si="1"/>
        <v>3745.3125</v>
      </c>
      <c r="H64" s="177">
        <v>55545.8</v>
      </c>
      <c r="I64" s="291">
        <f>SUMMARY!N64</f>
        <v>59973.14453125</v>
      </c>
      <c r="J64" s="52">
        <f t="shared" si="2"/>
        <v>4427.3445312499971</v>
      </c>
    </row>
    <row r="65" spans="1:10" x14ac:dyDescent="0.25">
      <c r="A65" s="306" t="s">
        <v>341</v>
      </c>
      <c r="B65" s="307">
        <v>120000</v>
      </c>
      <c r="C65" s="91">
        <f>SUMMARY!L65</f>
        <v>0</v>
      </c>
      <c r="D65" s="91">
        <f t="shared" si="0"/>
        <v>-120000</v>
      </c>
      <c r="E65" s="51">
        <v>126480</v>
      </c>
      <c r="F65" s="177">
        <f>SUMMARY!M65</f>
        <v>135468.75</v>
      </c>
      <c r="G65" s="177">
        <f t="shared" si="1"/>
        <v>8988.75</v>
      </c>
      <c r="H65" s="177">
        <v>133309.92000000001</v>
      </c>
      <c r="I65" s="291">
        <f>SUMMARY!N65</f>
        <v>143935.546875</v>
      </c>
      <c r="J65" s="52">
        <f t="shared" si="2"/>
        <v>10625.626874999987</v>
      </c>
    </row>
    <row r="66" spans="1:10" x14ac:dyDescent="0.25">
      <c r="A66" s="306" t="s">
        <v>342</v>
      </c>
      <c r="B66" s="307">
        <v>50000</v>
      </c>
      <c r="C66" s="91">
        <f>SUMMARY!L66</f>
        <v>0</v>
      </c>
      <c r="D66" s="91">
        <f t="shared" si="0"/>
        <v>-50000</v>
      </c>
      <c r="E66" s="51">
        <v>52700</v>
      </c>
      <c r="F66" s="177">
        <f>SUMMARY!M66</f>
        <v>56445.3125</v>
      </c>
      <c r="G66" s="177">
        <f t="shared" si="1"/>
        <v>3745.3125</v>
      </c>
      <c r="H66" s="177">
        <v>55545.8</v>
      </c>
      <c r="I66" s="291">
        <f>SUMMARY!N66</f>
        <v>59973.14453125</v>
      </c>
      <c r="J66" s="52">
        <f t="shared" si="2"/>
        <v>4427.3445312499971</v>
      </c>
    </row>
    <row r="67" spans="1:10" x14ac:dyDescent="0.25">
      <c r="A67" s="306" t="s">
        <v>343</v>
      </c>
      <c r="B67" s="307">
        <v>160000</v>
      </c>
      <c r="C67" s="91">
        <f>SUMMARY!L67</f>
        <v>0</v>
      </c>
      <c r="D67" s="91">
        <f t="shared" si="0"/>
        <v>-160000</v>
      </c>
      <c r="E67" s="51">
        <v>168640</v>
      </c>
      <c r="F67" s="177">
        <f>SUMMARY!M67</f>
        <v>180625</v>
      </c>
      <c r="G67" s="177">
        <f t="shared" si="1"/>
        <v>11985</v>
      </c>
      <c r="H67" s="177">
        <v>177746.56</v>
      </c>
      <c r="I67" s="291">
        <f>SUMMARY!N67</f>
        <v>191914.0625</v>
      </c>
      <c r="J67" s="52">
        <f t="shared" si="2"/>
        <v>14167.502500000002</v>
      </c>
    </row>
    <row r="68" spans="1:10" x14ac:dyDescent="0.25">
      <c r="A68" s="306" t="s">
        <v>345</v>
      </c>
      <c r="B68" s="307">
        <v>50000</v>
      </c>
      <c r="C68" s="91">
        <f>SUMMARY!L68</f>
        <v>0</v>
      </c>
      <c r="D68" s="91">
        <f t="shared" si="0"/>
        <v>-50000</v>
      </c>
      <c r="E68" s="51">
        <v>52700</v>
      </c>
      <c r="F68" s="177">
        <f>SUMMARY!M68</f>
        <v>56445.3125</v>
      </c>
      <c r="G68" s="177">
        <f t="shared" si="1"/>
        <v>3745.3125</v>
      </c>
      <c r="H68" s="177">
        <v>55545.8</v>
      </c>
      <c r="I68" s="291">
        <f>SUMMARY!N68</f>
        <v>59973.14453125</v>
      </c>
      <c r="J68" s="52">
        <f t="shared" si="2"/>
        <v>4427.3445312499971</v>
      </c>
    </row>
    <row r="69" spans="1:10" x14ac:dyDescent="0.25">
      <c r="A69" s="314" t="s">
        <v>392</v>
      </c>
      <c r="B69" s="291">
        <v>30000</v>
      </c>
      <c r="C69" s="91">
        <f>SUMMARY!L69</f>
        <v>0</v>
      </c>
      <c r="D69" s="91">
        <f t="shared" ref="D69:D81" si="3">C69-B69</f>
        <v>-30000</v>
      </c>
      <c r="E69" s="51">
        <v>31620</v>
      </c>
      <c r="F69" s="51">
        <f>SUMMARY!M69</f>
        <v>33867.1875</v>
      </c>
      <c r="G69" s="177">
        <f t="shared" ref="G69:G81" si="4">F69-E69</f>
        <v>2247.1875</v>
      </c>
      <c r="H69" s="177">
        <v>33327.480000000003</v>
      </c>
      <c r="I69" s="291">
        <f>SUMMARY!N69</f>
        <v>35983.88671875</v>
      </c>
      <c r="J69" s="52">
        <f t="shared" ref="J69:J81" si="5">I69-H69</f>
        <v>2656.4067187499968</v>
      </c>
    </row>
    <row r="70" spans="1:10" x14ac:dyDescent="0.25">
      <c r="A70" s="314" t="s">
        <v>391</v>
      </c>
      <c r="B70" s="291">
        <v>100000</v>
      </c>
      <c r="C70" s="91">
        <f>SUMMARY!L70</f>
        <v>0</v>
      </c>
      <c r="D70" s="91">
        <f t="shared" si="3"/>
        <v>-100000</v>
      </c>
      <c r="E70" s="51">
        <v>105400</v>
      </c>
      <c r="F70" s="51">
        <f>SUMMARY!M70</f>
        <v>112890.625</v>
      </c>
      <c r="G70" s="177">
        <f t="shared" si="4"/>
        <v>7490.625</v>
      </c>
      <c r="H70" s="177">
        <v>111091.6</v>
      </c>
      <c r="I70" s="291">
        <f>SUMMARY!N70</f>
        <v>119946.2890625</v>
      </c>
      <c r="J70" s="52">
        <f t="shared" si="5"/>
        <v>8854.6890624999942</v>
      </c>
    </row>
    <row r="71" spans="1:10" x14ac:dyDescent="0.25">
      <c r="A71" s="314" t="s">
        <v>389</v>
      </c>
      <c r="B71" s="291">
        <v>70000</v>
      </c>
      <c r="C71" s="91">
        <f>SUMMARY!L71</f>
        <v>0</v>
      </c>
      <c r="D71" s="91">
        <f t="shared" si="3"/>
        <v>-70000</v>
      </c>
      <c r="E71" s="51">
        <v>73780</v>
      </c>
      <c r="F71" s="51">
        <f>SUMMARY!M71</f>
        <v>79023.4375</v>
      </c>
      <c r="G71" s="177">
        <f t="shared" si="4"/>
        <v>5243.4375</v>
      </c>
      <c r="H71" s="177">
        <v>77764.12</v>
      </c>
      <c r="I71" s="291">
        <f>SUMMARY!N71</f>
        <v>83962.40234375</v>
      </c>
      <c r="J71" s="52">
        <f t="shared" si="5"/>
        <v>6198.2823437500047</v>
      </c>
    </row>
    <row r="72" spans="1:10" x14ac:dyDescent="0.25">
      <c r="A72" s="314" t="s">
        <v>390</v>
      </c>
      <c r="B72" s="291">
        <v>100000</v>
      </c>
      <c r="C72" s="91">
        <f>SUMMARY!L70</f>
        <v>0</v>
      </c>
      <c r="D72" s="91">
        <f t="shared" si="3"/>
        <v>-100000</v>
      </c>
      <c r="E72" s="51">
        <v>105400</v>
      </c>
      <c r="F72" s="51">
        <f>SUMMARY!M72</f>
        <v>112890.625</v>
      </c>
      <c r="G72" s="177">
        <f t="shared" si="4"/>
        <v>7490.625</v>
      </c>
      <c r="H72" s="177">
        <v>111091.6</v>
      </c>
      <c r="I72" s="291">
        <f>SUMMARY!N70</f>
        <v>119946.2890625</v>
      </c>
      <c r="J72" s="52">
        <f t="shared" si="5"/>
        <v>8854.6890624999942</v>
      </c>
    </row>
    <row r="73" spans="1:10" x14ac:dyDescent="0.25">
      <c r="A73" s="306" t="s">
        <v>228</v>
      </c>
      <c r="B73" s="307">
        <v>78636822.209999993</v>
      </c>
      <c r="C73" s="91">
        <f>SUMMARY!L73</f>
        <v>88278443.148874998</v>
      </c>
      <c r="D73" s="91">
        <f t="shared" si="3"/>
        <v>9641620.9388750046</v>
      </c>
      <c r="E73" s="51">
        <v>83108118.396629989</v>
      </c>
      <c r="F73" s="51">
        <f>SUMMARY!M73</f>
        <v>93667206.8456797</v>
      </c>
      <c r="G73" s="177">
        <f t="shared" si="4"/>
        <v>10559088.449049711</v>
      </c>
      <c r="H73" s="177">
        <v>87836383.214661032</v>
      </c>
      <c r="I73" s="177">
        <f>SUMMARY!N73</f>
        <v>99385821.767534673</v>
      </c>
      <c r="J73" s="52">
        <f t="shared" si="5"/>
        <v>11549438.552873641</v>
      </c>
    </row>
    <row r="74" spans="1:10" x14ac:dyDescent="0.25">
      <c r="A74" s="306" t="s">
        <v>229</v>
      </c>
      <c r="B74" s="307">
        <v>11070053.007000001</v>
      </c>
      <c r="C74" s="91">
        <f>SUMMARY!L74</f>
        <v>8574431.3199374992</v>
      </c>
      <c r="D74" s="91">
        <f t="shared" si="3"/>
        <v>-2495621.6870625019</v>
      </c>
      <c r="E74" s="51">
        <v>11725108.765398001</v>
      </c>
      <c r="F74" s="51">
        <f>SUMMARY!M74</f>
        <v>4828785.3153320309</v>
      </c>
      <c r="G74" s="177">
        <f t="shared" si="4"/>
        <v>-6896323.4500659704</v>
      </c>
      <c r="H74" s="177">
        <v>12419489.364574872</v>
      </c>
      <c r="I74" s="291">
        <f>SUMMARY!N74</f>
        <v>5130339.3080636859</v>
      </c>
      <c r="J74" s="52">
        <f t="shared" si="5"/>
        <v>-7289150.0565111861</v>
      </c>
    </row>
    <row r="75" spans="1:10" x14ac:dyDescent="0.25">
      <c r="A75" s="306" t="s">
        <v>230</v>
      </c>
      <c r="B75" s="307">
        <v>5275345</v>
      </c>
      <c r="C75" s="91">
        <f>SUMMARY!L75</f>
        <v>2935022.375</v>
      </c>
      <c r="D75" s="91">
        <f t="shared" si="3"/>
        <v>-2340322.625</v>
      </c>
      <c r="E75" s="51">
        <v>5618773.1050000004</v>
      </c>
      <c r="F75" s="51">
        <f>SUMMARY!M75</f>
        <v>3118461.2734375</v>
      </c>
      <c r="G75" s="177">
        <f t="shared" si="4"/>
        <v>-2500311.8315625004</v>
      </c>
      <c r="H75" s="177">
        <v>5984786.9314449988</v>
      </c>
      <c r="I75" s="291">
        <f>SUMMARY!N75</f>
        <v>3313365.1030273438</v>
      </c>
      <c r="J75" s="52">
        <f t="shared" si="5"/>
        <v>-2671421.8284176551</v>
      </c>
    </row>
    <row r="76" spans="1:10" x14ac:dyDescent="0.25">
      <c r="A76" s="306" t="s">
        <v>231</v>
      </c>
      <c r="B76" s="307">
        <v>2015598.26</v>
      </c>
      <c r="C76" s="91">
        <f>SUMMARY!L76</f>
        <v>2141573.1512500001</v>
      </c>
      <c r="D76" s="91">
        <f t="shared" si="3"/>
        <v>125974.8912500001</v>
      </c>
      <c r="E76" s="51">
        <v>2151631.9099399997</v>
      </c>
      <c r="F76" s="51">
        <f>SUMMARY!M76</f>
        <v>2286194.6776093747</v>
      </c>
      <c r="G76" s="177">
        <f t="shared" si="4"/>
        <v>134562.76766937505</v>
      </c>
      <c r="H76" s="177">
        <v>2296887.57970586</v>
      </c>
      <c r="I76" s="291">
        <f>SUMMARY!N76</f>
        <v>2414021.7339080544</v>
      </c>
      <c r="J76" s="52">
        <f t="shared" si="5"/>
        <v>117134.15420219442</v>
      </c>
    </row>
    <row r="77" spans="1:10" x14ac:dyDescent="0.25">
      <c r="A77" s="306" t="s">
        <v>232</v>
      </c>
      <c r="B77" s="307">
        <v>30308526</v>
      </c>
      <c r="C77" s="91">
        <f>SUMMARY!L77</f>
        <v>24222376.375</v>
      </c>
      <c r="D77" s="91">
        <f t="shared" si="3"/>
        <v>-6086149.625</v>
      </c>
      <c r="E77" s="51">
        <v>32038803.549000002</v>
      </c>
      <c r="F77" s="51">
        <f>SUMMARY!M77</f>
        <v>25736269.5859375</v>
      </c>
      <c r="G77" s="177">
        <f t="shared" si="4"/>
        <v>-6302533.9630625024</v>
      </c>
      <c r="H77" s="177">
        <v>33868975.668651</v>
      </c>
      <c r="I77" s="291">
        <f>SUMMARY!N77</f>
        <v>27344786.435058594</v>
      </c>
      <c r="J77" s="52">
        <f t="shared" si="5"/>
        <v>-6524189.2335924059</v>
      </c>
    </row>
    <row r="78" spans="1:10" x14ac:dyDescent="0.25">
      <c r="A78" s="306" t="s">
        <v>233</v>
      </c>
      <c r="B78" s="307">
        <v>2156610</v>
      </c>
      <c r="C78" s="91">
        <f>SUMMARY!L78</f>
        <v>2238273.125</v>
      </c>
      <c r="D78" s="91">
        <f t="shared" si="3"/>
        <v>81663.125</v>
      </c>
      <c r="E78" s="51">
        <v>2307929.4270000001</v>
      </c>
      <c r="F78" s="51">
        <f>SUMMARY!M78</f>
        <v>2378165.1953125</v>
      </c>
      <c r="G78" s="177">
        <f t="shared" si="4"/>
        <v>70235.768312499858</v>
      </c>
      <c r="H78" s="177">
        <v>2431441.6995029999</v>
      </c>
      <c r="I78" s="291">
        <f>SUMMARY!N78</f>
        <v>2526800.5200195313</v>
      </c>
      <c r="J78" s="52">
        <f t="shared" si="5"/>
        <v>95358.820516531356</v>
      </c>
    </row>
    <row r="79" spans="1:10" x14ac:dyDescent="0.25">
      <c r="A79" s="306" t="s">
        <v>234</v>
      </c>
      <c r="B79" s="307">
        <f>65125650</f>
        <v>65125650</v>
      </c>
      <c r="C79" s="91">
        <f>SUMMARY!L79</f>
        <v>42633503.125</v>
      </c>
      <c r="D79" s="91">
        <f t="shared" si="3"/>
        <v>-22492146.875</v>
      </c>
      <c r="E79" s="51">
        <v>57819843.821000002</v>
      </c>
      <c r="F79" s="51">
        <f>SUMMARY!M79</f>
        <v>23957048.98828125</v>
      </c>
      <c r="G79" s="177">
        <f t="shared" si="4"/>
        <v>-33862794.832718752</v>
      </c>
      <c r="H79" s="177">
        <v>61410999.969568998</v>
      </c>
      <c r="I79" s="291">
        <f>SUMMARY!N79</f>
        <v>25454364.550048828</v>
      </c>
      <c r="J79" s="52">
        <f t="shared" si="5"/>
        <v>-35956635.419520169</v>
      </c>
    </row>
    <row r="80" spans="1:10" x14ac:dyDescent="0.25">
      <c r="A80" s="306" t="s">
        <v>235</v>
      </c>
      <c r="B80" s="307">
        <f>12694866.5</f>
        <v>12694866.5</v>
      </c>
      <c r="C80" s="91">
        <f>SUMMARY!L80</f>
        <v>8175795.65625</v>
      </c>
      <c r="D80" s="91">
        <f t="shared" si="3"/>
        <v>-4519070.84375</v>
      </c>
      <c r="E80" s="51">
        <v>13481850.701000001</v>
      </c>
      <c r="F80" s="51">
        <f>SUMMARY!M80</f>
        <v>8686782.884765625</v>
      </c>
      <c r="G80" s="177">
        <f t="shared" si="4"/>
        <v>-4795067.8162343763</v>
      </c>
      <c r="H80" s="177">
        <v>14318332.886144001</v>
      </c>
      <c r="I80" s="291">
        <f>SUMMARY!N80</f>
        <v>9227396.102581054</v>
      </c>
      <c r="J80" s="52">
        <f t="shared" si="5"/>
        <v>-5090936.7835629471</v>
      </c>
    </row>
    <row r="81" spans="1:10" x14ac:dyDescent="0.25">
      <c r="A81" s="306" t="s">
        <v>236</v>
      </c>
      <c r="B81" s="307">
        <v>5713897.5</v>
      </c>
      <c r="C81" s="91">
        <f>SUMMARY!L81</f>
        <v>3627266.09375</v>
      </c>
      <c r="D81" s="91">
        <f t="shared" si="3"/>
        <v>-2086631.40625</v>
      </c>
      <c r="E81" s="51">
        <v>6091881.5850000009</v>
      </c>
      <c r="F81" s="51">
        <f>SUMMARY!M81</f>
        <v>3853970.224609375</v>
      </c>
      <c r="G81" s="177">
        <f t="shared" si="4"/>
        <v>-2237911.3603906259</v>
      </c>
      <c r="H81" s="177">
        <v>6495067.73037</v>
      </c>
      <c r="I81" s="291">
        <f>SUMMARY!N81</f>
        <v>4094843.3636474609</v>
      </c>
      <c r="J81" s="52">
        <f t="shared" si="5"/>
        <v>-2400224.3667225391</v>
      </c>
    </row>
    <row r="82" spans="1:10" s="19" customFormat="1" x14ac:dyDescent="0.25">
      <c r="A82" s="304"/>
      <c r="B82" s="305"/>
      <c r="C82" s="91"/>
      <c r="D82" s="91"/>
      <c r="E82" s="51"/>
      <c r="F82" s="177"/>
      <c r="G82" s="177"/>
      <c r="H82" s="177"/>
      <c r="I82" s="165"/>
      <c r="J82" s="50"/>
    </row>
    <row r="83" spans="1:10" s="19" customFormat="1" ht="15.75" thickBot="1" x14ac:dyDescent="0.3">
      <c r="A83" s="315"/>
      <c r="B83" s="316"/>
      <c r="C83" s="317"/>
      <c r="D83" s="317"/>
      <c r="E83" s="318"/>
      <c r="F83" s="319"/>
      <c r="G83" s="177"/>
      <c r="H83" s="319"/>
      <c r="I83" s="292"/>
      <c r="J83" s="284"/>
    </row>
    <row r="84" spans="1:10" s="19" customFormat="1" ht="15.75" thickBot="1" x14ac:dyDescent="0.3">
      <c r="A84" s="320" t="s">
        <v>113</v>
      </c>
      <c r="B84" s="321">
        <f>SUM(B4:B83)</f>
        <v>1915289461.977</v>
      </c>
      <c r="C84" s="321">
        <f>SUM(C4:C83)</f>
        <v>2292444889.9873133</v>
      </c>
      <c r="D84" s="322">
        <f>SUM(D4:D83)</f>
        <v>377155428.01031238</v>
      </c>
      <c r="E84" s="322">
        <v>2158115009.5379686</v>
      </c>
      <c r="F84" s="322">
        <f>SUM(F4:F83)</f>
        <v>1412637559.0314176</v>
      </c>
      <c r="G84" s="322">
        <f>SUM(G4:G83)</f>
        <v>-745477450.50655019</v>
      </c>
      <c r="H84" s="322">
        <f>SUM(H4:H83)</f>
        <v>2124595280.8471553</v>
      </c>
      <c r="I84" s="322">
        <f>SUM(I4:I83)</f>
        <v>1504875814.6201758</v>
      </c>
      <c r="J84" s="322">
        <f>SUM(J4:J83)</f>
        <v>-619719466.22697997</v>
      </c>
    </row>
    <row r="85" spans="1:10" s="19" customFormat="1" x14ac:dyDescent="0.25">
      <c r="A85" s="323"/>
      <c r="B85" s="13"/>
      <c r="C85" s="150"/>
      <c r="D85" s="150"/>
      <c r="E85" s="13"/>
      <c r="F85" s="13"/>
      <c r="G85" s="13"/>
      <c r="H85" s="13"/>
      <c r="I85" s="64"/>
    </row>
    <row r="86" spans="1:10" s="19" customFormat="1" x14ac:dyDescent="0.25">
      <c r="A86" s="64"/>
      <c r="B86" s="64"/>
      <c r="C86" s="324"/>
      <c r="D86" s="324"/>
      <c r="I86" s="64"/>
    </row>
    <row r="90" spans="1:10" x14ac:dyDescent="0.25">
      <c r="C90" s="326"/>
      <c r="D90" s="326"/>
    </row>
  </sheetData>
  <mergeCells count="1">
    <mergeCell ref="A1:H1"/>
  </mergeCells>
  <pageMargins left="0" right="0" top="0.98425196850393704" bottom="0.23622047244094491" header="0.23622047244094491" footer="0.23622047244094491"/>
  <pageSetup scale="49" orientation="landscape" r:id="rId1"/>
  <headerFooter alignWithMargins="0">
    <oddHeader>&amp;C&amp;P</oddHeader>
    <oddFooter>&amp;A&amp;RPage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I22"/>
  <sheetViews>
    <sheetView view="pageBreakPreview" zoomScale="60" zoomScaleNormal="100" workbookViewId="0">
      <selection activeCell="G1" sqref="G1"/>
    </sheetView>
  </sheetViews>
  <sheetFormatPr defaultColWidth="9.28515625" defaultRowHeight="15" x14ac:dyDescent="0.25"/>
  <cols>
    <col min="1" max="1" width="41" style="352" customWidth="1"/>
    <col min="2" max="2" width="13.28515625" style="247" hidden="1" customWidth="1"/>
    <col min="3" max="7" width="16.28515625" style="247" customWidth="1"/>
    <col min="8" max="8" width="15.7109375" style="247" customWidth="1"/>
    <col min="9" max="9" width="13.85546875" style="352" customWidth="1"/>
    <col min="10" max="16384" width="9.28515625" style="352"/>
  </cols>
  <sheetData>
    <row r="1" spans="1:9" s="272" customFormat="1" ht="18.75" x14ac:dyDescent="0.3">
      <c r="A1" s="515" t="s">
        <v>491</v>
      </c>
      <c r="B1" s="363"/>
      <c r="C1" s="363"/>
      <c r="D1" s="363"/>
      <c r="E1" s="363"/>
      <c r="F1" s="363"/>
      <c r="G1" s="363"/>
      <c r="H1" s="363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42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525104</v>
      </c>
      <c r="C4" s="158">
        <f t="shared" ref="C4:I5" si="0">B4*6.25%+B4</f>
        <v>557923</v>
      </c>
      <c r="D4" s="239">
        <f>456819+24226</f>
        <v>481045</v>
      </c>
      <c r="E4" s="239">
        <f>C4-D4</f>
        <v>76878</v>
      </c>
      <c r="F4" s="239">
        <v>0</v>
      </c>
      <c r="G4" s="158">
        <f>C4+F4</f>
        <v>557923</v>
      </c>
      <c r="H4" s="158">
        <f>C4*6.25%+C4</f>
        <v>592793.1875</v>
      </c>
      <c r="I4" s="386">
        <f t="shared" si="0"/>
        <v>629842.76171875</v>
      </c>
    </row>
    <row r="5" spans="1:9" s="272" customFormat="1" x14ac:dyDescent="0.25">
      <c r="A5" s="253" t="s">
        <v>3</v>
      </c>
      <c r="B5" s="158">
        <v>43759</v>
      </c>
      <c r="C5" s="158">
        <f t="shared" si="0"/>
        <v>46493.9375</v>
      </c>
      <c r="D5" s="239">
        <v>28337</v>
      </c>
      <c r="E5" s="239">
        <f t="shared" ref="E5:E7" si="1">C5-D5</f>
        <v>18156.9375</v>
      </c>
      <c r="F5" s="239">
        <v>0</v>
      </c>
      <c r="G5" s="158">
        <f t="shared" ref="G5:G6" si="2">C5+F5</f>
        <v>46493.9375</v>
      </c>
      <c r="H5" s="158">
        <f>C5*6.25%+C5</f>
        <v>49399.80859375</v>
      </c>
      <c r="I5" s="386">
        <f t="shared" si="0"/>
        <v>52487.296630859375</v>
      </c>
    </row>
    <row r="6" spans="1:9" s="272" customFormat="1" x14ac:dyDescent="0.25">
      <c r="A6" s="253" t="s">
        <v>173</v>
      </c>
      <c r="B6" s="158"/>
      <c r="C6" s="158">
        <v>23343</v>
      </c>
      <c r="D6" s="239"/>
      <c r="E6" s="239">
        <f t="shared" si="1"/>
        <v>23343</v>
      </c>
      <c r="F6" s="239">
        <v>0</v>
      </c>
      <c r="G6" s="158">
        <f t="shared" si="2"/>
        <v>23343</v>
      </c>
      <c r="H6" s="158">
        <f>C6*6.25%+C6</f>
        <v>24801.9375</v>
      </c>
      <c r="I6" s="386">
        <f>H6*6.25%+H6</f>
        <v>26352.05859375</v>
      </c>
    </row>
    <row r="7" spans="1:9" s="272" customFormat="1" x14ac:dyDescent="0.25">
      <c r="A7" s="710" t="s">
        <v>831</v>
      </c>
      <c r="B7" s="158"/>
      <c r="C7" s="158"/>
      <c r="D7" s="239">
        <v>505274</v>
      </c>
      <c r="E7" s="239">
        <f t="shared" si="1"/>
        <v>-505274</v>
      </c>
      <c r="F7" s="239"/>
      <c r="G7" s="158"/>
      <c r="H7" s="158"/>
      <c r="I7" s="386"/>
    </row>
    <row r="8" spans="1:9" s="272" customFormat="1" x14ac:dyDescent="0.25">
      <c r="A8" s="424" t="s">
        <v>40</v>
      </c>
      <c r="B8" s="246">
        <f>SUM(B4:B5)</f>
        <v>568863</v>
      </c>
      <c r="C8" s="246">
        <f>SUM(C4:C6)</f>
        <v>627759.9375</v>
      </c>
      <c r="D8" s="246">
        <f>SUM(D4:D6)</f>
        <v>509382</v>
      </c>
      <c r="E8" s="246">
        <f>SUM(E4:E6)</f>
        <v>118377.9375</v>
      </c>
      <c r="F8" s="246">
        <f t="shared" ref="F8:G8" si="3">SUM(F4:F6)</f>
        <v>0</v>
      </c>
      <c r="G8" s="246">
        <f t="shared" si="3"/>
        <v>627759.9375</v>
      </c>
      <c r="H8" s="246">
        <f>SUM(H4:H6)</f>
        <v>666994.93359375</v>
      </c>
      <c r="I8" s="387">
        <f>SUM(I4:I6)</f>
        <v>708682.11694335938</v>
      </c>
    </row>
    <row r="9" spans="1:9" s="272" customFormat="1" x14ac:dyDescent="0.25">
      <c r="A9" s="253"/>
      <c r="B9" s="158"/>
      <c r="C9" s="158"/>
      <c r="D9" s="158"/>
      <c r="E9" s="158"/>
      <c r="F9" s="158"/>
      <c r="G9" s="158"/>
      <c r="H9" s="158"/>
      <c r="I9" s="386">
        <f>H9*6.9%+H9</f>
        <v>0</v>
      </c>
    </row>
    <row r="10" spans="1:9" s="272" customFormat="1" x14ac:dyDescent="0.25">
      <c r="A10" s="253" t="s">
        <v>7</v>
      </c>
      <c r="B10" s="158">
        <v>5251</v>
      </c>
      <c r="C10" s="158">
        <f>B10*6.25%+B10</f>
        <v>5579.1875</v>
      </c>
      <c r="D10" s="239">
        <v>892</v>
      </c>
      <c r="E10" s="239">
        <f t="shared" ref="E10:E13" si="4">C10-D10</f>
        <v>4687.1875</v>
      </c>
      <c r="F10" s="239">
        <v>0</v>
      </c>
      <c r="G10" s="158">
        <f t="shared" ref="G10:G14" si="5">C10+F10</f>
        <v>5579.1875</v>
      </c>
      <c r="H10" s="158">
        <f>C10*6.25%+C10</f>
        <v>5927.88671875</v>
      </c>
      <c r="I10" s="386">
        <f>H10*6.25%+H10</f>
        <v>6298.379638671875</v>
      </c>
    </row>
    <row r="11" spans="1:9" s="93" customFormat="1" x14ac:dyDescent="0.25">
      <c r="A11" s="96" t="s">
        <v>396</v>
      </c>
      <c r="B11" s="91">
        <v>4200</v>
      </c>
      <c r="C11" s="91">
        <f t="shared" ref="C11:I13" si="6">B11*6.25%+B11</f>
        <v>4462.5</v>
      </c>
      <c r="D11" s="176"/>
      <c r="E11" s="239">
        <f t="shared" si="4"/>
        <v>4462.5</v>
      </c>
      <c r="F11" s="239">
        <v>-4463</v>
      </c>
      <c r="G11" s="158">
        <f t="shared" si="5"/>
        <v>-0.5</v>
      </c>
      <c r="H11" s="91">
        <f>C11*6.25%+C11</f>
        <v>4741.40625</v>
      </c>
      <c r="I11" s="404">
        <f t="shared" si="6"/>
        <v>5037.744140625</v>
      </c>
    </row>
    <row r="12" spans="1:9" s="93" customFormat="1" x14ac:dyDescent="0.25">
      <c r="A12" s="96" t="s">
        <v>832</v>
      </c>
      <c r="B12" s="91"/>
      <c r="C12" s="91"/>
      <c r="D12" s="176">
        <v>20400</v>
      </c>
      <c r="E12" s="239">
        <f t="shared" si="4"/>
        <v>-20400</v>
      </c>
      <c r="F12" s="239">
        <v>40000</v>
      </c>
      <c r="G12" s="158">
        <f t="shared" si="5"/>
        <v>40000</v>
      </c>
      <c r="H12" s="91"/>
      <c r="I12" s="404"/>
    </row>
    <row r="13" spans="1:9" s="272" customFormat="1" x14ac:dyDescent="0.25">
      <c r="A13" s="253" t="s">
        <v>492</v>
      </c>
      <c r="B13" s="158">
        <v>0</v>
      </c>
      <c r="C13" s="158">
        <f t="shared" si="6"/>
        <v>0</v>
      </c>
      <c r="D13" s="239">
        <v>30607</v>
      </c>
      <c r="E13" s="239">
        <f t="shared" si="4"/>
        <v>-30607</v>
      </c>
      <c r="F13" s="239">
        <v>61400</v>
      </c>
      <c r="G13" s="158">
        <f t="shared" si="5"/>
        <v>61400</v>
      </c>
      <c r="H13" s="158">
        <f>C13*6.25%+C13</f>
        <v>0</v>
      </c>
      <c r="I13" s="386">
        <f t="shared" si="6"/>
        <v>0</v>
      </c>
    </row>
    <row r="14" spans="1:9" s="754" customFormat="1" x14ac:dyDescent="0.25">
      <c r="A14" s="785" t="s">
        <v>872</v>
      </c>
      <c r="B14" s="158"/>
      <c r="C14" s="158"/>
      <c r="D14" s="239"/>
      <c r="E14" s="239"/>
      <c r="F14" s="239">
        <v>60</v>
      </c>
      <c r="G14" s="158">
        <f t="shared" si="5"/>
        <v>60</v>
      </c>
      <c r="H14" s="158"/>
      <c r="I14" s="239"/>
    </row>
    <row r="15" spans="1:9" s="272" customFormat="1" x14ac:dyDescent="0.25">
      <c r="A15" s="424" t="s">
        <v>41</v>
      </c>
      <c r="B15" s="246">
        <f ca="1">SUM(B10:B17)</f>
        <v>29404</v>
      </c>
      <c r="C15" s="246">
        <f>SUM(C10:C14)</f>
        <v>10041.6875</v>
      </c>
      <c r="D15" s="246">
        <f t="shared" ref="D15:G15" si="7">SUM(D10:D14)</f>
        <v>51899</v>
      </c>
      <c r="E15" s="246">
        <f t="shared" si="7"/>
        <v>-41857.3125</v>
      </c>
      <c r="F15" s="246">
        <f t="shared" si="7"/>
        <v>96997</v>
      </c>
      <c r="G15" s="246">
        <f t="shared" si="7"/>
        <v>107038.6875</v>
      </c>
      <c r="H15" s="246">
        <f>SUM(H10:H11)</f>
        <v>10669.29296875</v>
      </c>
      <c r="I15" s="246">
        <f>SUM(I10:I11)</f>
        <v>11336.123779296875</v>
      </c>
    </row>
    <row r="16" spans="1:9" s="272" customFormat="1" x14ac:dyDescent="0.25">
      <c r="A16" s="253"/>
      <c r="B16" s="246"/>
      <c r="C16" s="246"/>
      <c r="D16" s="246"/>
      <c r="E16" s="246"/>
      <c r="F16" s="246"/>
      <c r="G16" s="246"/>
      <c r="H16" s="246"/>
      <c r="I16" s="246"/>
    </row>
    <row r="17" spans="1:9" x14ac:dyDescent="0.25">
      <c r="A17" s="253" t="s">
        <v>9</v>
      </c>
      <c r="B17" s="158">
        <v>5251</v>
      </c>
      <c r="C17" s="158">
        <f>B17*6.25%+B17</f>
        <v>5579.1875</v>
      </c>
      <c r="D17" s="239">
        <v>2240</v>
      </c>
      <c r="E17" s="239">
        <f t="shared" ref="E17:E19" si="8">C17-D17</f>
        <v>3339.1875</v>
      </c>
      <c r="F17" s="239">
        <v>0</v>
      </c>
      <c r="G17" s="158">
        <f t="shared" ref="G17:G19" si="9">C17+F17</f>
        <v>5579.1875</v>
      </c>
      <c r="H17" s="158">
        <f>C17*6.25%+C17</f>
        <v>5927.88671875</v>
      </c>
      <c r="I17" s="386">
        <f>H17*6.25%+H17</f>
        <v>6298.379638671875</v>
      </c>
    </row>
    <row r="18" spans="1:9" s="272" customFormat="1" x14ac:dyDescent="0.25">
      <c r="A18" s="253" t="s">
        <v>59</v>
      </c>
      <c r="B18" s="158">
        <v>2500</v>
      </c>
      <c r="C18" s="158">
        <f t="shared" ref="C18:I19" si="10">B18*6.25%+B18</f>
        <v>2656.25</v>
      </c>
      <c r="D18" s="239"/>
      <c r="E18" s="239">
        <f t="shared" si="8"/>
        <v>2656.25</v>
      </c>
      <c r="F18" s="239">
        <v>0</v>
      </c>
      <c r="G18" s="158">
        <f t="shared" si="9"/>
        <v>2656.25</v>
      </c>
      <c r="H18" s="158">
        <f>C18*6.25%+C18</f>
        <v>2822.265625</v>
      </c>
      <c r="I18" s="386">
        <f t="shared" si="10"/>
        <v>2998.6572265625</v>
      </c>
    </row>
    <row r="19" spans="1:9" s="252" customFormat="1" x14ac:dyDescent="0.25">
      <c r="A19" s="271" t="s">
        <v>51</v>
      </c>
      <c r="B19" s="158">
        <f>20000/2</f>
        <v>10000</v>
      </c>
      <c r="C19" s="158">
        <f t="shared" si="10"/>
        <v>10625</v>
      </c>
      <c r="D19" s="239">
        <v>5021</v>
      </c>
      <c r="E19" s="239">
        <f t="shared" si="8"/>
        <v>5604</v>
      </c>
      <c r="F19" s="239">
        <v>0</v>
      </c>
      <c r="G19" s="158">
        <f t="shared" si="9"/>
        <v>10625</v>
      </c>
      <c r="H19" s="158">
        <f>C19*6.25%+C19</f>
        <v>11289.0625</v>
      </c>
      <c r="I19" s="386">
        <f t="shared" si="10"/>
        <v>11994.62890625</v>
      </c>
    </row>
    <row r="20" spans="1:9" s="272" customFormat="1" x14ac:dyDescent="0.25">
      <c r="A20" s="424" t="s">
        <v>42</v>
      </c>
      <c r="B20" s="246">
        <f>SUM(B18:B19)</f>
        <v>12500</v>
      </c>
      <c r="C20" s="246">
        <f>SUM(C17:C19)</f>
        <v>18860.4375</v>
      </c>
      <c r="D20" s="246">
        <f t="shared" ref="D20:E20" si="11">SUM(D17:D19)</f>
        <v>7261</v>
      </c>
      <c r="E20" s="246">
        <f t="shared" si="11"/>
        <v>11599.4375</v>
      </c>
      <c r="F20" s="246">
        <f t="shared" ref="F20:G20" si="12">SUM(F17:F19)</f>
        <v>0</v>
      </c>
      <c r="G20" s="246">
        <f t="shared" si="12"/>
        <v>18860.4375</v>
      </c>
      <c r="H20" s="246">
        <f>SUM(H17:H19)</f>
        <v>20039.21484375</v>
      </c>
      <c r="I20" s="246">
        <f>SUM(I17:I19)</f>
        <v>21291.665771484375</v>
      </c>
    </row>
    <row r="21" spans="1:9" s="272" customFormat="1" x14ac:dyDescent="0.25">
      <c r="A21" s="425"/>
      <c r="B21" s="158"/>
      <c r="C21" s="158"/>
      <c r="D21" s="158"/>
      <c r="E21" s="158"/>
      <c r="F21" s="158"/>
      <c r="G21" s="158"/>
      <c r="H21" s="158"/>
      <c r="I21" s="386">
        <f>H21*6.9%+H21</f>
        <v>0</v>
      </c>
    </row>
    <row r="22" spans="1:9" s="272" customFormat="1" ht="15.75" thickBot="1" x14ac:dyDescent="0.3">
      <c r="A22" s="426" t="s">
        <v>44</v>
      </c>
      <c r="B22" s="392">
        <f ca="1">B20+B15+B8</f>
        <v>610767</v>
      </c>
      <c r="C22" s="392">
        <f>C20+C15+C8</f>
        <v>656662.0625</v>
      </c>
      <c r="D22" s="392">
        <f t="shared" ref="D22:E22" si="13">D20+D15+D8</f>
        <v>568542</v>
      </c>
      <c r="E22" s="392">
        <f t="shared" si="13"/>
        <v>88120.0625</v>
      </c>
      <c r="F22" s="392">
        <f t="shared" ref="F22:G22" si="14">F20+F15+F8</f>
        <v>96997</v>
      </c>
      <c r="G22" s="392">
        <f t="shared" si="14"/>
        <v>753659.0625</v>
      </c>
      <c r="H22" s="392">
        <f>H20+H15+H8</f>
        <v>697703.44140625</v>
      </c>
      <c r="I22" s="393">
        <f>I20+I15+I8</f>
        <v>741309.90649414063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&amp;A&amp;RPage &amp;P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25"/>
  <sheetViews>
    <sheetView view="pageBreakPreview" zoomScale="60" zoomScaleNormal="100" workbookViewId="0">
      <selection activeCell="F33" sqref="F33"/>
    </sheetView>
  </sheetViews>
  <sheetFormatPr defaultColWidth="9.28515625" defaultRowHeight="15" x14ac:dyDescent="0.25"/>
  <cols>
    <col min="1" max="1" width="36.42578125" style="352" customWidth="1"/>
    <col min="2" max="2" width="15" style="247" hidden="1" customWidth="1"/>
    <col min="3" max="7" width="14.42578125" style="247" customWidth="1"/>
    <col min="8" max="8" width="15.28515625" style="247" customWidth="1"/>
    <col min="9" max="9" width="14.7109375" style="352" customWidth="1"/>
    <col min="10" max="16384" width="9.28515625" style="352"/>
  </cols>
  <sheetData>
    <row r="1" spans="1:9" s="272" customFormat="1" ht="18.75" x14ac:dyDescent="0.3">
      <c r="A1" s="515" t="s">
        <v>493</v>
      </c>
      <c r="B1" s="362"/>
      <c r="C1" s="362"/>
      <c r="D1" s="362"/>
      <c r="E1" s="362"/>
      <c r="F1" s="362"/>
      <c r="G1" s="362"/>
      <c r="H1" s="362"/>
    </row>
    <row r="2" spans="1:9" s="272" customFormat="1" ht="15.75" thickBot="1" x14ac:dyDescent="0.3">
      <c r="B2" s="243"/>
      <c r="C2" s="243"/>
      <c r="D2" s="243"/>
      <c r="E2" s="243"/>
      <c r="F2" s="243"/>
      <c r="G2" s="243"/>
      <c r="H2" s="243"/>
    </row>
    <row r="3" spans="1:9" s="272" customFormat="1" ht="38.2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525104</v>
      </c>
      <c r="C4" s="158">
        <f>B4*6.25%+B4</f>
        <v>557923</v>
      </c>
      <c r="D4" s="239">
        <v>217830</v>
      </c>
      <c r="E4" s="239">
        <f>C4-D4</f>
        <v>340093</v>
      </c>
      <c r="F4" s="239">
        <v>-100000</v>
      </c>
      <c r="G4" s="158">
        <f>C4+F4</f>
        <v>457923</v>
      </c>
      <c r="H4" s="158">
        <f>C4*6.25%+C4</f>
        <v>592793.1875</v>
      </c>
      <c r="I4" s="386">
        <f>H4*6.25%+H4</f>
        <v>629842.76171875</v>
      </c>
    </row>
    <row r="5" spans="1:9" s="272" customFormat="1" x14ac:dyDescent="0.25">
      <c r="A5" s="253" t="s">
        <v>3</v>
      </c>
      <c r="B5" s="158">
        <v>43759</v>
      </c>
      <c r="C5" s="158">
        <f t="shared" ref="C5:I8" si="0">B5*6.25%+B5</f>
        <v>46493.9375</v>
      </c>
      <c r="D5" s="239"/>
      <c r="E5" s="239">
        <f t="shared" ref="E5:E8" si="1">C5-D5</f>
        <v>46493.9375</v>
      </c>
      <c r="F5" s="239">
        <v>-10000</v>
      </c>
      <c r="G5" s="158">
        <f t="shared" ref="G5:G8" si="2">C5+F5</f>
        <v>36493.9375</v>
      </c>
      <c r="H5" s="158">
        <f>C5*6.25%+C5</f>
        <v>49399.80859375</v>
      </c>
      <c r="I5" s="386">
        <f t="shared" si="0"/>
        <v>52487.296630859375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/>
      <c r="E6" s="239">
        <f t="shared" si="1"/>
        <v>10200</v>
      </c>
      <c r="F6" s="239">
        <v>0</v>
      </c>
      <c r="G6" s="158">
        <f t="shared" si="2"/>
        <v>10200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38336</v>
      </c>
      <c r="D7" s="239"/>
      <c r="E7" s="239">
        <f t="shared" si="1"/>
        <v>38336</v>
      </c>
      <c r="F7" s="239">
        <v>0</v>
      </c>
      <c r="G7" s="158">
        <f t="shared" si="2"/>
        <v>38336</v>
      </c>
      <c r="H7" s="158">
        <f>C7*6.25%+C7</f>
        <v>40732</v>
      </c>
      <c r="I7" s="386">
        <f>H7*6.25%+H7</f>
        <v>43277.75</v>
      </c>
    </row>
    <row r="8" spans="1:9" s="272" customFormat="1" x14ac:dyDescent="0.25">
      <c r="A8" s="253" t="s">
        <v>368</v>
      </c>
      <c r="B8" s="158">
        <v>202054</v>
      </c>
      <c r="C8" s="158">
        <f t="shared" si="0"/>
        <v>214682.375</v>
      </c>
      <c r="D8" s="239">
        <v>88170</v>
      </c>
      <c r="E8" s="239">
        <f t="shared" si="1"/>
        <v>126512.375</v>
      </c>
      <c r="F8" s="239">
        <v>-10000</v>
      </c>
      <c r="G8" s="158">
        <f t="shared" si="2"/>
        <v>204682.375</v>
      </c>
      <c r="H8" s="158">
        <f>C8*6.25%+C8</f>
        <v>228100.0234375</v>
      </c>
      <c r="I8" s="386">
        <f t="shared" si="0"/>
        <v>242356.27490234375</v>
      </c>
    </row>
    <row r="9" spans="1:9" s="272" customFormat="1" x14ac:dyDescent="0.25">
      <c r="A9" s="424" t="s">
        <v>40</v>
      </c>
      <c r="B9" s="246">
        <f>SUM(B4:B8)</f>
        <v>780517</v>
      </c>
      <c r="C9" s="351">
        <f>SUM(C4:C8)</f>
        <v>867635.3125</v>
      </c>
      <c r="D9" s="351">
        <f>SUM(D4:D8)</f>
        <v>306000</v>
      </c>
      <c r="E9" s="351">
        <f>SUM(E4:E8)</f>
        <v>561635.3125</v>
      </c>
      <c r="F9" s="351">
        <f t="shared" ref="F9:G9" si="3">SUM(F4:F8)</f>
        <v>-120000</v>
      </c>
      <c r="G9" s="351">
        <f t="shared" si="3"/>
        <v>747635.3125</v>
      </c>
      <c r="H9" s="351">
        <f>SUM(H4:H8)</f>
        <v>921862.51953125</v>
      </c>
      <c r="I9" s="387">
        <f>SUM(I4:I8)</f>
        <v>979478.92700195313</v>
      </c>
    </row>
    <row r="10" spans="1:9" s="272" customFormat="1" x14ac:dyDescent="0.25">
      <c r="A10" s="253"/>
      <c r="B10" s="246"/>
      <c r="C10" s="239"/>
      <c r="D10" s="239"/>
      <c r="E10" s="239"/>
      <c r="F10" s="239"/>
      <c r="G10" s="239"/>
      <c r="H10" s="158"/>
      <c r="I10" s="386">
        <f>H10*6.9%+H10</f>
        <v>0</v>
      </c>
    </row>
    <row r="11" spans="1:9" s="272" customFormat="1" x14ac:dyDescent="0.25">
      <c r="A11" s="253" t="s">
        <v>6</v>
      </c>
      <c r="B11" s="158">
        <v>46452</v>
      </c>
      <c r="C11" s="158">
        <f>B11*6.25%+B11</f>
        <v>49355.25</v>
      </c>
      <c r="D11" s="239"/>
      <c r="E11" s="239">
        <f t="shared" ref="E11:E14" si="4">C11-D11</f>
        <v>49355.25</v>
      </c>
      <c r="F11" s="239"/>
      <c r="G11" s="158">
        <f t="shared" ref="G11:G15" si="5">C11+F11</f>
        <v>49355.25</v>
      </c>
      <c r="H11" s="158">
        <f>C11*6.25%+C11</f>
        <v>52439.953125</v>
      </c>
      <c r="I11" s="386">
        <f>H11*6.25%+H11</f>
        <v>55717.4501953125</v>
      </c>
    </row>
    <row r="12" spans="1:9" s="272" customFormat="1" x14ac:dyDescent="0.25">
      <c r="A12" s="253" t="s">
        <v>7</v>
      </c>
      <c r="B12" s="158">
        <v>5251</v>
      </c>
      <c r="C12" s="158">
        <f t="shared" ref="C12:I13" si="6">B12*6.25%+B12</f>
        <v>5579.1875</v>
      </c>
      <c r="D12" s="239"/>
      <c r="E12" s="239">
        <f t="shared" si="4"/>
        <v>5579.1875</v>
      </c>
      <c r="F12" s="239">
        <v>0</v>
      </c>
      <c r="G12" s="158">
        <f t="shared" si="5"/>
        <v>5579.1875</v>
      </c>
      <c r="H12" s="158">
        <f>C12*6.25%+C12</f>
        <v>5927.88671875</v>
      </c>
      <c r="I12" s="386">
        <f t="shared" si="6"/>
        <v>6298.379638671875</v>
      </c>
    </row>
    <row r="13" spans="1:9" s="272" customFormat="1" x14ac:dyDescent="0.25">
      <c r="A13" s="253" t="s">
        <v>53</v>
      </c>
      <c r="B13" s="158">
        <v>115523</v>
      </c>
      <c r="C13" s="158">
        <f t="shared" si="6"/>
        <v>122743.1875</v>
      </c>
      <c r="D13" s="239"/>
      <c r="E13" s="239">
        <f t="shared" si="4"/>
        <v>122743.1875</v>
      </c>
      <c r="F13" s="239">
        <v>0</v>
      </c>
      <c r="G13" s="158">
        <f t="shared" si="5"/>
        <v>122743.1875</v>
      </c>
      <c r="H13" s="158">
        <f>C13*6.25%+C13</f>
        <v>130414.63671875</v>
      </c>
      <c r="I13" s="386">
        <f t="shared" si="6"/>
        <v>138565.55151367188</v>
      </c>
    </row>
    <row r="14" spans="1:9" s="93" customFormat="1" x14ac:dyDescent="0.25">
      <c r="A14" s="96" t="s">
        <v>451</v>
      </c>
      <c r="B14" s="91"/>
      <c r="C14" s="91">
        <v>5400</v>
      </c>
      <c r="D14" s="176"/>
      <c r="E14" s="239">
        <f t="shared" si="4"/>
        <v>5400</v>
      </c>
      <c r="F14" s="239">
        <v>-5400</v>
      </c>
      <c r="G14" s="158">
        <f t="shared" si="5"/>
        <v>0</v>
      </c>
      <c r="H14" s="91">
        <v>5772.6</v>
      </c>
      <c r="I14" s="404">
        <v>6170.9094000000005</v>
      </c>
    </row>
    <row r="15" spans="1:9" s="746" customFormat="1" x14ac:dyDescent="0.25">
      <c r="A15" s="785" t="s">
        <v>872</v>
      </c>
      <c r="B15" s="91"/>
      <c r="C15" s="176"/>
      <c r="D15" s="176"/>
      <c r="E15" s="239"/>
      <c r="F15" s="239">
        <v>60</v>
      </c>
      <c r="G15" s="158">
        <f t="shared" si="5"/>
        <v>60</v>
      </c>
      <c r="H15" s="176"/>
      <c r="I15" s="176"/>
    </row>
    <row r="16" spans="1:9" s="272" customFormat="1" x14ac:dyDescent="0.25">
      <c r="A16" s="424" t="s">
        <v>41</v>
      </c>
      <c r="B16" s="246">
        <f ca="1">SUM(B11:B18)</f>
        <v>344954</v>
      </c>
      <c r="C16" s="351">
        <f>SUM(C11:C15)</f>
        <v>183077.625</v>
      </c>
      <c r="D16" s="351">
        <f t="shared" ref="D16:G16" si="7">SUM(D11:D15)</f>
        <v>0</v>
      </c>
      <c r="E16" s="351">
        <f t="shared" si="7"/>
        <v>183077.625</v>
      </c>
      <c r="F16" s="351">
        <f t="shared" si="7"/>
        <v>-5340</v>
      </c>
      <c r="G16" s="351">
        <f t="shared" si="7"/>
        <v>177737.625</v>
      </c>
      <c r="H16" s="351">
        <f>SUM(H11:H14)</f>
        <v>194555.07656250001</v>
      </c>
      <c r="I16" s="351">
        <f>SUM(I11:I14)</f>
        <v>206752.29074765625</v>
      </c>
    </row>
    <row r="17" spans="1:9" s="272" customFormat="1" x14ac:dyDescent="0.25">
      <c r="A17" s="253"/>
      <c r="B17" s="246"/>
      <c r="C17" s="351"/>
      <c r="D17" s="351"/>
      <c r="E17" s="351"/>
      <c r="F17" s="351"/>
      <c r="G17" s="351"/>
      <c r="H17" s="351"/>
      <c r="I17" s="351"/>
    </row>
    <row r="18" spans="1:9" x14ac:dyDescent="0.25">
      <c r="A18" s="253" t="s">
        <v>9</v>
      </c>
      <c r="B18" s="158">
        <v>5251</v>
      </c>
      <c r="C18" s="158">
        <f>B18*6.25%+B18</f>
        <v>5579.1875</v>
      </c>
      <c r="D18" s="239"/>
      <c r="E18" s="239">
        <f t="shared" ref="E18:E22" si="8">C18-D18</f>
        <v>5579.1875</v>
      </c>
      <c r="F18" s="239">
        <v>0</v>
      </c>
      <c r="G18" s="158">
        <f t="shared" ref="G18:G22" si="9">C18+F18</f>
        <v>5579.1875</v>
      </c>
      <c r="H18" s="158">
        <f>C18*6.25%+C18</f>
        <v>5927.88671875</v>
      </c>
      <c r="I18" s="386">
        <f>H18*6.25%+H18</f>
        <v>6298.379638671875</v>
      </c>
    </row>
    <row r="19" spans="1:9" s="252" customFormat="1" x14ac:dyDescent="0.25">
      <c r="A19" s="271" t="s">
        <v>130</v>
      </c>
      <c r="B19" s="158">
        <v>55000</v>
      </c>
      <c r="C19" s="158">
        <v>110000</v>
      </c>
      <c r="D19" s="239">
        <v>17580</v>
      </c>
      <c r="E19" s="239">
        <f t="shared" si="8"/>
        <v>92420</v>
      </c>
      <c r="F19" s="724">
        <v>-50000</v>
      </c>
      <c r="G19" s="158">
        <f t="shared" si="9"/>
        <v>60000</v>
      </c>
      <c r="H19" s="158">
        <v>120000</v>
      </c>
      <c r="I19" s="386">
        <v>130000</v>
      </c>
    </row>
    <row r="20" spans="1:9" s="252" customFormat="1" x14ac:dyDescent="0.25">
      <c r="A20" s="271" t="s">
        <v>464</v>
      </c>
      <c r="B20" s="158">
        <v>55000</v>
      </c>
      <c r="C20" s="158">
        <v>120000</v>
      </c>
      <c r="D20" s="239">
        <v>9350</v>
      </c>
      <c r="E20" s="239">
        <f t="shared" si="8"/>
        <v>110650</v>
      </c>
      <c r="F20" s="879">
        <v>-100000</v>
      </c>
      <c r="G20" s="158">
        <f t="shared" si="9"/>
        <v>20000</v>
      </c>
      <c r="H20" s="158">
        <v>125000</v>
      </c>
      <c r="I20" s="386">
        <v>135000</v>
      </c>
    </row>
    <row r="21" spans="1:9" s="252" customFormat="1" x14ac:dyDescent="0.25">
      <c r="A21" s="271" t="s">
        <v>585</v>
      </c>
      <c r="B21" s="158">
        <v>50000</v>
      </c>
      <c r="C21" s="158">
        <v>250000</v>
      </c>
      <c r="D21" s="239">
        <v>39725</v>
      </c>
      <c r="E21" s="239">
        <f t="shared" si="8"/>
        <v>210275</v>
      </c>
      <c r="F21" s="239">
        <v>-150000</v>
      </c>
      <c r="G21" s="158">
        <f t="shared" si="9"/>
        <v>100000</v>
      </c>
      <c r="H21" s="158">
        <v>260000</v>
      </c>
      <c r="I21" s="386">
        <v>275000</v>
      </c>
    </row>
    <row r="22" spans="1:9" s="272" customFormat="1" x14ac:dyDescent="0.25">
      <c r="A22" s="253" t="s">
        <v>51</v>
      </c>
      <c r="B22" s="158">
        <f>100000/2</f>
        <v>50000</v>
      </c>
      <c r="C22" s="158">
        <f>B22*6.25%+B22</f>
        <v>53125</v>
      </c>
      <c r="D22" s="239"/>
      <c r="E22" s="239">
        <f t="shared" si="8"/>
        <v>53125</v>
      </c>
      <c r="F22" s="239">
        <v>0</v>
      </c>
      <c r="G22" s="158">
        <f t="shared" si="9"/>
        <v>53125</v>
      </c>
      <c r="H22" s="158">
        <f>C22*6.25%+C22</f>
        <v>56445.3125</v>
      </c>
      <c r="I22" s="386">
        <f>H22*6.25%+H22</f>
        <v>59973.14453125</v>
      </c>
    </row>
    <row r="23" spans="1:9" s="272" customFormat="1" x14ac:dyDescent="0.25">
      <c r="A23" s="424" t="s">
        <v>42</v>
      </c>
      <c r="B23" s="246">
        <f>SUM(B19:B22)</f>
        <v>210000</v>
      </c>
      <c r="C23" s="351">
        <f>SUM(C18:C22)</f>
        <v>538704.1875</v>
      </c>
      <c r="D23" s="351">
        <f>SUM(D18:D22)</f>
        <v>66655</v>
      </c>
      <c r="E23" s="351">
        <f>SUM(E18:E22)</f>
        <v>472049.1875</v>
      </c>
      <c r="F23" s="351">
        <f t="shared" ref="F23:G23" si="10">SUM(F18:F22)</f>
        <v>-300000</v>
      </c>
      <c r="G23" s="351">
        <f t="shared" si="10"/>
        <v>238704.1875</v>
      </c>
      <c r="H23" s="351">
        <f>SUM(H18:H22)</f>
        <v>567373.19921875</v>
      </c>
      <c r="I23" s="351">
        <f>SUM(I18:I22)</f>
        <v>606271.52416992188</v>
      </c>
    </row>
    <row r="24" spans="1:9" s="272" customFormat="1" x14ac:dyDescent="0.25">
      <c r="A24" s="253"/>
      <c r="B24" s="158"/>
      <c r="C24" s="239"/>
      <c r="D24" s="239"/>
      <c r="E24" s="239"/>
      <c r="F24" s="239"/>
      <c r="G24" s="239"/>
      <c r="H24" s="158"/>
      <c r="I24" s="386">
        <f>H24*6.9%+H24</f>
        <v>0</v>
      </c>
    </row>
    <row r="25" spans="1:9" s="272" customFormat="1" ht="15.75" thickBot="1" x14ac:dyDescent="0.3">
      <c r="A25" s="426" t="s">
        <v>44</v>
      </c>
      <c r="B25" s="392">
        <f ca="1">B23+B16+B9</f>
        <v>1335471</v>
      </c>
      <c r="C25" s="422">
        <f>C23+C16+C9</f>
        <v>1589417.125</v>
      </c>
      <c r="D25" s="422">
        <f>D23+D16+D9</f>
        <v>372655</v>
      </c>
      <c r="E25" s="422">
        <f>E23+E16+E9</f>
        <v>1216762.125</v>
      </c>
      <c r="F25" s="422">
        <f t="shared" ref="F25:G25" si="11">F23+F16+F9</f>
        <v>-425340</v>
      </c>
      <c r="G25" s="422">
        <f t="shared" si="11"/>
        <v>1164077.125</v>
      </c>
      <c r="H25" s="422">
        <f>H23+H16+H9</f>
        <v>1683790.7953125001</v>
      </c>
      <c r="I25" s="393">
        <f>I23+I16+I9</f>
        <v>1792502.7419195313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6" orientation="landscape" r:id="rId1"/>
  <headerFooter alignWithMargins="0">
    <oddFooter>&amp;A&amp;RPage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view="pageBreakPreview" zoomScaleNormal="100" zoomScaleSheetLayoutView="100" workbookViewId="0">
      <selection activeCell="F31" sqref="F31"/>
    </sheetView>
  </sheetViews>
  <sheetFormatPr defaultColWidth="9.28515625" defaultRowHeight="15" x14ac:dyDescent="0.25"/>
  <cols>
    <col min="1" max="1" width="27.7109375" style="352" customWidth="1"/>
    <col min="2" max="2" width="14.7109375" style="247" hidden="1" customWidth="1"/>
    <col min="3" max="7" width="16" style="247" customWidth="1"/>
    <col min="8" max="8" width="16.7109375" style="247" customWidth="1"/>
    <col min="9" max="9" width="15.85546875" style="352" customWidth="1"/>
    <col min="10" max="16384" width="9.28515625" style="352"/>
  </cols>
  <sheetData>
    <row r="1" spans="1:9" ht="18.75" x14ac:dyDescent="0.3">
      <c r="A1" s="519" t="s">
        <v>628</v>
      </c>
      <c r="B1" s="368"/>
      <c r="C1" s="368"/>
      <c r="D1" s="368"/>
      <c r="E1" s="368"/>
      <c r="F1" s="368"/>
      <c r="G1" s="368"/>
      <c r="H1" s="368"/>
    </row>
    <row r="2" spans="1:9" ht="15.75" thickBot="1" x14ac:dyDescent="0.3"/>
    <row r="3" spans="1:9" s="272" customFormat="1" ht="37.5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565510</v>
      </c>
      <c r="C4" s="158">
        <f>B4*6.25%+B4</f>
        <v>600854.375</v>
      </c>
      <c r="D4" s="239">
        <v>343033</v>
      </c>
      <c r="E4" s="239">
        <f>C4-D4</f>
        <v>257821.375</v>
      </c>
      <c r="F4" s="239">
        <v>0</v>
      </c>
      <c r="G4" s="158">
        <f>C4+F4</f>
        <v>600854.375</v>
      </c>
      <c r="H4" s="158">
        <f>C4*6.25%+C4</f>
        <v>638407.7734375</v>
      </c>
      <c r="I4" s="386">
        <f>H4*6.25%+H4</f>
        <v>678308.25927734375</v>
      </c>
    </row>
    <row r="5" spans="1:9" s="272" customFormat="1" x14ac:dyDescent="0.25">
      <c r="A5" s="253" t="s">
        <v>3</v>
      </c>
      <c r="B5" s="158">
        <v>47126</v>
      </c>
      <c r="C5" s="158">
        <f t="shared" ref="C5:I8" si="0">B5*6.25%+B5</f>
        <v>50071.375</v>
      </c>
      <c r="D5" s="239">
        <v>50071</v>
      </c>
      <c r="E5" s="239">
        <f t="shared" ref="E5:E8" si="1">C5-D5</f>
        <v>0.375</v>
      </c>
      <c r="F5" s="239">
        <v>0</v>
      </c>
      <c r="G5" s="158">
        <f t="shared" ref="G5:G8" si="2">C5+F5</f>
        <v>50071.375</v>
      </c>
      <c r="H5" s="158">
        <f>C5*6.25%+C5</f>
        <v>53200.8359375</v>
      </c>
      <c r="I5" s="386">
        <f t="shared" si="0"/>
        <v>56525.88818359375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>
        <v>5787</v>
      </c>
      <c r="E6" s="239">
        <f t="shared" si="1"/>
        <v>4413</v>
      </c>
      <c r="F6" s="239">
        <v>0</v>
      </c>
      <c r="G6" s="158">
        <f t="shared" si="2"/>
        <v>10200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41908</v>
      </c>
      <c r="D7" s="239"/>
      <c r="E7" s="239">
        <f t="shared" si="1"/>
        <v>41908</v>
      </c>
      <c r="F7" s="239">
        <v>0</v>
      </c>
      <c r="G7" s="158">
        <f t="shared" si="2"/>
        <v>41908</v>
      </c>
      <c r="H7" s="158">
        <f>C7*6.25%+C7</f>
        <v>44527.25</v>
      </c>
      <c r="I7" s="386">
        <f>H7*6.25%+H7</f>
        <v>47310.203125</v>
      </c>
    </row>
    <row r="8" spans="1:9" s="272" customFormat="1" x14ac:dyDescent="0.25">
      <c r="A8" s="253" t="s">
        <v>5</v>
      </c>
      <c r="B8" s="158">
        <v>237043</v>
      </c>
      <c r="C8" s="158">
        <f t="shared" si="0"/>
        <v>251858.1875</v>
      </c>
      <c r="D8" s="239">
        <v>127485</v>
      </c>
      <c r="E8" s="239">
        <f t="shared" si="1"/>
        <v>124373.1875</v>
      </c>
      <c r="F8" s="239">
        <v>0</v>
      </c>
      <c r="G8" s="158">
        <f t="shared" si="2"/>
        <v>251858.1875</v>
      </c>
      <c r="H8" s="158">
        <f>C8*6.25%+C8</f>
        <v>267599.32421875</v>
      </c>
      <c r="I8" s="386">
        <f t="shared" si="0"/>
        <v>284324.28198242188</v>
      </c>
    </row>
    <row r="9" spans="1:9" s="272" customFormat="1" x14ac:dyDescent="0.25">
      <c r="A9" s="424" t="s">
        <v>40</v>
      </c>
      <c r="B9" s="246">
        <f>SUM(B4:B8)</f>
        <v>859279</v>
      </c>
      <c r="C9" s="246">
        <f>SUM(C4:C8)</f>
        <v>954891.9375</v>
      </c>
      <c r="D9" s="246">
        <f>SUM(D4:D8)</f>
        <v>526376</v>
      </c>
      <c r="E9" s="246">
        <f>SUM(E4:E8)</f>
        <v>428515.9375</v>
      </c>
      <c r="F9" s="246">
        <f t="shared" ref="F9:G9" si="3">SUM(F4:F8)</f>
        <v>0</v>
      </c>
      <c r="G9" s="246">
        <f t="shared" si="3"/>
        <v>954891.9375</v>
      </c>
      <c r="H9" s="246">
        <f>SUM(H4:H8)</f>
        <v>1014572.68359375</v>
      </c>
      <c r="I9" s="387">
        <f>SUM(I4:I8)</f>
        <v>1077983.4763183594</v>
      </c>
    </row>
    <row r="10" spans="1:9" s="272" customFormat="1" x14ac:dyDescent="0.25">
      <c r="A10" s="253"/>
      <c r="B10" s="158"/>
      <c r="C10" s="158"/>
      <c r="D10" s="158"/>
      <c r="E10" s="158"/>
      <c r="F10" s="158"/>
      <c r="G10" s="158"/>
      <c r="H10" s="158"/>
      <c r="I10" s="386"/>
    </row>
    <row r="11" spans="1:9" s="272" customFormat="1" x14ac:dyDescent="0.25">
      <c r="A11" s="253" t="s">
        <v>6</v>
      </c>
      <c r="B11" s="158">
        <v>46452</v>
      </c>
      <c r="C11" s="158">
        <f>B11*6.25%+B11</f>
        <v>49355.25</v>
      </c>
      <c r="D11" s="239">
        <v>26954</v>
      </c>
      <c r="E11" s="239">
        <f t="shared" ref="E11:E14" si="4">C11-D11</f>
        <v>22401.25</v>
      </c>
      <c r="F11" s="239">
        <v>0</v>
      </c>
      <c r="G11" s="158">
        <f t="shared" ref="G11:G15" si="5">C11+F11</f>
        <v>49355.25</v>
      </c>
      <c r="H11" s="158">
        <f>C11*6.25%+C11</f>
        <v>52439.953125</v>
      </c>
      <c r="I11" s="386">
        <f>H11*6.25%+H11</f>
        <v>55717.4501953125</v>
      </c>
    </row>
    <row r="12" spans="1:9" s="272" customFormat="1" x14ac:dyDescent="0.25">
      <c r="A12" s="253" t="s">
        <v>7</v>
      </c>
      <c r="B12" s="158">
        <v>5655</v>
      </c>
      <c r="C12" s="158">
        <f t="shared" ref="C12:I13" si="6">B12*6.25%+B12</f>
        <v>6008.4375</v>
      </c>
      <c r="D12" s="239">
        <v>892</v>
      </c>
      <c r="E12" s="239">
        <f t="shared" si="4"/>
        <v>5116.4375</v>
      </c>
      <c r="F12" s="239">
        <v>0</v>
      </c>
      <c r="G12" s="158">
        <f t="shared" si="5"/>
        <v>6008.4375</v>
      </c>
      <c r="H12" s="158">
        <f>C12*6.25%+C12</f>
        <v>6383.96484375</v>
      </c>
      <c r="I12" s="386">
        <f t="shared" si="6"/>
        <v>6782.962646484375</v>
      </c>
    </row>
    <row r="13" spans="1:9" s="272" customFormat="1" x14ac:dyDescent="0.25">
      <c r="A13" s="253" t="s">
        <v>8</v>
      </c>
      <c r="B13" s="158">
        <v>124412</v>
      </c>
      <c r="C13" s="158">
        <f t="shared" si="6"/>
        <v>132187.75</v>
      </c>
      <c r="D13" s="239">
        <v>66094</v>
      </c>
      <c r="E13" s="239">
        <f t="shared" si="4"/>
        <v>66093.75</v>
      </c>
      <c r="F13" s="239">
        <v>0</v>
      </c>
      <c r="G13" s="158">
        <f t="shared" si="5"/>
        <v>132187.75</v>
      </c>
      <c r="H13" s="158">
        <f>C13*6.25%+C13</f>
        <v>140449.484375</v>
      </c>
      <c r="I13" s="386">
        <f t="shared" si="6"/>
        <v>149227.5771484375</v>
      </c>
    </row>
    <row r="14" spans="1:9" s="93" customFormat="1" x14ac:dyDescent="0.25">
      <c r="A14" s="96" t="s">
        <v>398</v>
      </c>
      <c r="B14" s="91"/>
      <c r="C14" s="91">
        <v>6600</v>
      </c>
      <c r="D14" s="176"/>
      <c r="E14" s="239">
        <f t="shared" si="4"/>
        <v>6600</v>
      </c>
      <c r="F14" s="239">
        <v>-6600</v>
      </c>
      <c r="G14" s="158">
        <f t="shared" si="5"/>
        <v>0</v>
      </c>
      <c r="H14" s="91">
        <v>7055.4</v>
      </c>
      <c r="I14" s="404">
        <v>7542.2226000000001</v>
      </c>
    </row>
    <row r="15" spans="1:9" s="272" customFormat="1" x14ac:dyDescent="0.25">
      <c r="A15" s="785" t="s">
        <v>872</v>
      </c>
      <c r="C15" s="752"/>
      <c r="D15" s="752"/>
      <c r="E15" s="752"/>
      <c r="F15" s="752">
        <v>60</v>
      </c>
      <c r="G15" s="158">
        <f t="shared" si="5"/>
        <v>60</v>
      </c>
      <c r="H15" s="752"/>
      <c r="I15" s="752"/>
    </row>
    <row r="16" spans="1:9" s="272" customFormat="1" x14ac:dyDescent="0.25">
      <c r="A16" s="424" t="s">
        <v>41</v>
      </c>
      <c r="B16" s="246">
        <f ca="1">SUM(B11:B18)</f>
        <v>364348</v>
      </c>
      <c r="C16" s="246">
        <f>SUM(C11:C15)</f>
        <v>194151.4375</v>
      </c>
      <c r="D16" s="246">
        <f>SUM(D11:D15)</f>
        <v>93940</v>
      </c>
      <c r="E16" s="246">
        <f>SUM(E11:E15)</f>
        <v>100211.4375</v>
      </c>
      <c r="F16" s="246">
        <f t="shared" ref="F16:G16" si="7">SUM(F11:F15)</f>
        <v>-6540</v>
      </c>
      <c r="G16" s="246">
        <f t="shared" si="7"/>
        <v>187611.4375</v>
      </c>
      <c r="H16" s="246">
        <f>SUM(H11:H15)</f>
        <v>206328.80234374999</v>
      </c>
      <c r="I16" s="246">
        <f>SUM(I11:I15)</f>
        <v>219270.21259023438</v>
      </c>
    </row>
    <row r="17" spans="1:9" s="272" customFormat="1" x14ac:dyDescent="0.25">
      <c r="A17" s="253"/>
      <c r="B17" s="246"/>
      <c r="C17" s="246"/>
      <c r="D17" s="246"/>
      <c r="E17" s="246"/>
      <c r="F17" s="246"/>
      <c r="G17" s="246"/>
      <c r="H17" s="246"/>
      <c r="I17" s="246"/>
    </row>
    <row r="18" spans="1:9" s="479" customFormat="1" x14ac:dyDescent="0.25">
      <c r="A18" s="253" t="s">
        <v>9</v>
      </c>
      <c r="B18" s="158">
        <v>5655</v>
      </c>
      <c r="C18" s="158">
        <f t="shared" ref="C18:I19" si="8">B18*6.25%+B18</f>
        <v>6008.4375</v>
      </c>
      <c r="D18" s="239"/>
      <c r="E18" s="239">
        <f t="shared" ref="E18:E35" si="9">C18-D18</f>
        <v>6008.4375</v>
      </c>
      <c r="F18" s="239">
        <v>0</v>
      </c>
      <c r="G18" s="158">
        <f t="shared" ref="G18:G35" si="10">C18+F18</f>
        <v>6008.4375</v>
      </c>
      <c r="H18" s="158">
        <f>C18*6.25%+C18</f>
        <v>6383.96484375</v>
      </c>
      <c r="I18" s="386">
        <f t="shared" si="8"/>
        <v>6782.962646484375</v>
      </c>
    </row>
    <row r="19" spans="1:9" s="272" customFormat="1" ht="15.95" customHeight="1" x14ac:dyDescent="0.25">
      <c r="A19" s="253" t="s">
        <v>59</v>
      </c>
      <c r="B19" s="254">
        <v>5000</v>
      </c>
      <c r="C19" s="254">
        <f t="shared" si="8"/>
        <v>5312.5</v>
      </c>
      <c r="D19" s="335"/>
      <c r="E19" s="239">
        <f t="shared" si="9"/>
        <v>5312.5</v>
      </c>
      <c r="F19" s="239">
        <v>0</v>
      </c>
      <c r="G19" s="158">
        <f t="shared" si="10"/>
        <v>5312.5</v>
      </c>
      <c r="H19" s="254">
        <f>C19*6.25%+C19</f>
        <v>5644.53125</v>
      </c>
      <c r="I19" s="255">
        <f t="shared" si="8"/>
        <v>5997.314453125</v>
      </c>
    </row>
    <row r="20" spans="1:9" s="272" customFormat="1" x14ac:dyDescent="0.25">
      <c r="A20" s="253" t="s">
        <v>51</v>
      </c>
      <c r="B20" s="254">
        <v>20000</v>
      </c>
      <c r="C20" s="254">
        <f t="shared" ref="C20:I25" si="11">B20*6.25%+B20</f>
        <v>21250</v>
      </c>
      <c r="D20" s="335">
        <v>1954</v>
      </c>
      <c r="E20" s="239">
        <f t="shared" si="9"/>
        <v>19296</v>
      </c>
      <c r="F20" s="239">
        <v>0</v>
      </c>
      <c r="G20" s="158">
        <f t="shared" si="10"/>
        <v>21250</v>
      </c>
      <c r="H20" s="254">
        <f>C20*6.25%+C20</f>
        <v>22578.125</v>
      </c>
      <c r="I20" s="255">
        <f t="shared" si="11"/>
        <v>23989.2578125</v>
      </c>
    </row>
    <row r="21" spans="1:9" s="272" customFormat="1" hidden="1" x14ac:dyDescent="0.25">
      <c r="A21" s="253" t="s">
        <v>397</v>
      </c>
      <c r="B21" s="158"/>
      <c r="C21" s="254">
        <f t="shared" si="11"/>
        <v>0</v>
      </c>
      <c r="D21" s="335"/>
      <c r="E21" s="239">
        <f t="shared" si="9"/>
        <v>0</v>
      </c>
      <c r="F21" s="239">
        <v>0</v>
      </c>
      <c r="G21" s="158">
        <f t="shared" si="10"/>
        <v>0</v>
      </c>
      <c r="H21" s="254">
        <f>C21*6.25%+C21</f>
        <v>0</v>
      </c>
      <c r="I21" s="255">
        <f t="shared" si="11"/>
        <v>0</v>
      </c>
    </row>
    <row r="22" spans="1:9" s="252" customFormat="1" x14ac:dyDescent="0.25">
      <c r="A22" s="271" t="s">
        <v>29</v>
      </c>
      <c r="B22" s="158">
        <v>100000</v>
      </c>
      <c r="C22" s="254">
        <v>105400</v>
      </c>
      <c r="D22" s="335"/>
      <c r="E22" s="239">
        <f t="shared" si="9"/>
        <v>105400</v>
      </c>
      <c r="F22" s="879">
        <v>-105400</v>
      </c>
      <c r="G22" s="158">
        <f t="shared" si="10"/>
        <v>0</v>
      </c>
      <c r="H22" s="254">
        <v>111092</v>
      </c>
      <c r="I22" s="255">
        <v>150000</v>
      </c>
    </row>
    <row r="23" spans="1:9" s="252" customFormat="1" x14ac:dyDescent="0.25">
      <c r="A23" s="253" t="s">
        <v>298</v>
      </c>
      <c r="B23" s="254">
        <v>150000</v>
      </c>
      <c r="C23" s="254">
        <v>158800</v>
      </c>
      <c r="D23" s="335">
        <v>25308</v>
      </c>
      <c r="E23" s="239">
        <f t="shared" si="9"/>
        <v>133492</v>
      </c>
      <c r="F23" s="879">
        <v>-133492</v>
      </c>
      <c r="G23" s="158">
        <f t="shared" si="10"/>
        <v>25308</v>
      </c>
      <c r="H23" s="254">
        <v>166637</v>
      </c>
      <c r="I23" s="255">
        <v>180000</v>
      </c>
    </row>
    <row r="24" spans="1:9" s="252" customFormat="1" x14ac:dyDescent="0.25">
      <c r="A24" s="271" t="s">
        <v>297</v>
      </c>
      <c r="B24" s="158">
        <v>100000</v>
      </c>
      <c r="C24" s="254">
        <v>150000</v>
      </c>
      <c r="D24" s="335">
        <v>5000</v>
      </c>
      <c r="E24" s="239">
        <f t="shared" si="9"/>
        <v>145000</v>
      </c>
      <c r="F24" s="239">
        <v>-100000</v>
      </c>
      <c r="G24" s="158">
        <f t="shared" si="10"/>
        <v>50000</v>
      </c>
      <c r="H24" s="254">
        <v>160000</v>
      </c>
      <c r="I24" s="255">
        <v>170000</v>
      </c>
    </row>
    <row r="25" spans="1:9" s="557" customFormat="1" x14ac:dyDescent="0.25">
      <c r="A25" s="271" t="s">
        <v>609</v>
      </c>
      <c r="B25" s="254">
        <v>100000</v>
      </c>
      <c r="C25" s="254">
        <f t="shared" si="11"/>
        <v>106250</v>
      </c>
      <c r="D25" s="335"/>
      <c r="E25" s="239">
        <f t="shared" si="9"/>
        <v>106250</v>
      </c>
      <c r="F25" s="239">
        <v>-106250</v>
      </c>
      <c r="G25" s="158">
        <f t="shared" si="10"/>
        <v>0</v>
      </c>
      <c r="H25" s="254">
        <f>C25*6.25%+C25</f>
        <v>112890.625</v>
      </c>
      <c r="I25" s="255">
        <f t="shared" si="11"/>
        <v>119946.2890625</v>
      </c>
    </row>
    <row r="26" spans="1:9" s="557" customFormat="1" x14ac:dyDescent="0.25">
      <c r="A26" s="253" t="s">
        <v>415</v>
      </c>
      <c r="B26" s="254">
        <v>50000</v>
      </c>
      <c r="C26" s="254">
        <v>400000</v>
      </c>
      <c r="D26" s="335">
        <v>186911</v>
      </c>
      <c r="E26" s="239">
        <f t="shared" si="9"/>
        <v>213089</v>
      </c>
      <c r="F26" s="239">
        <v>0</v>
      </c>
      <c r="G26" s="158">
        <f t="shared" si="10"/>
        <v>400000</v>
      </c>
      <c r="H26" s="254">
        <v>410000</v>
      </c>
      <c r="I26" s="255">
        <v>420000</v>
      </c>
    </row>
    <row r="27" spans="1:9" s="252" customFormat="1" hidden="1" x14ac:dyDescent="0.25">
      <c r="A27" s="253" t="s">
        <v>299</v>
      </c>
      <c r="B27" s="254">
        <v>150000</v>
      </c>
      <c r="C27" s="254">
        <v>0</v>
      </c>
      <c r="D27" s="335"/>
      <c r="E27" s="239">
        <f t="shared" si="9"/>
        <v>0</v>
      </c>
      <c r="F27" s="239">
        <v>0</v>
      </c>
      <c r="G27" s="158">
        <f t="shared" si="10"/>
        <v>0</v>
      </c>
      <c r="H27" s="254">
        <v>0</v>
      </c>
      <c r="I27" s="255">
        <v>0</v>
      </c>
    </row>
    <row r="28" spans="1:9" s="252" customFormat="1" x14ac:dyDescent="0.25">
      <c r="A28" s="253" t="s">
        <v>582</v>
      </c>
      <c r="B28" s="254">
        <v>200000</v>
      </c>
      <c r="C28" s="254">
        <v>210800</v>
      </c>
      <c r="D28" s="335"/>
      <c r="E28" s="239">
        <f t="shared" si="9"/>
        <v>210800</v>
      </c>
      <c r="F28" s="879">
        <v>-210800</v>
      </c>
      <c r="G28" s="158">
        <f t="shared" si="10"/>
        <v>0</v>
      </c>
      <c r="H28" s="254">
        <v>260000</v>
      </c>
      <c r="I28" s="255">
        <v>222183</v>
      </c>
    </row>
    <row r="29" spans="1:9" s="252" customFormat="1" x14ac:dyDescent="0.25">
      <c r="A29" s="253" t="s">
        <v>747</v>
      </c>
      <c r="B29" s="254"/>
      <c r="C29" s="254">
        <v>300000</v>
      </c>
      <c r="D29" s="335"/>
      <c r="E29" s="239">
        <f t="shared" si="9"/>
        <v>300000</v>
      </c>
      <c r="F29" s="239">
        <v>-300000</v>
      </c>
      <c r="G29" s="158">
        <f t="shared" si="10"/>
        <v>0</v>
      </c>
      <c r="H29" s="254">
        <v>310000</v>
      </c>
      <c r="I29" s="255">
        <v>320000</v>
      </c>
    </row>
    <row r="30" spans="1:9" s="252" customFormat="1" x14ac:dyDescent="0.25">
      <c r="A30" s="253" t="s">
        <v>748</v>
      </c>
      <c r="B30" s="254"/>
      <c r="C30" s="254">
        <v>300000</v>
      </c>
      <c r="D30" s="335"/>
      <c r="E30" s="239">
        <f t="shared" si="9"/>
        <v>300000</v>
      </c>
      <c r="F30" s="239">
        <v>-300000</v>
      </c>
      <c r="G30" s="158">
        <f t="shared" si="10"/>
        <v>0</v>
      </c>
      <c r="H30" s="254">
        <v>310000</v>
      </c>
      <c r="I30" s="255">
        <v>320000</v>
      </c>
    </row>
    <row r="31" spans="1:9" s="252" customFormat="1" x14ac:dyDescent="0.25">
      <c r="A31" s="253" t="s">
        <v>749</v>
      </c>
      <c r="B31" s="254"/>
      <c r="C31" s="254">
        <v>330000</v>
      </c>
      <c r="D31" s="335"/>
      <c r="E31" s="239">
        <f t="shared" si="9"/>
        <v>330000</v>
      </c>
      <c r="F31" s="879">
        <v>-200000</v>
      </c>
      <c r="G31" s="158">
        <f t="shared" si="10"/>
        <v>130000</v>
      </c>
      <c r="H31" s="254">
        <v>360000</v>
      </c>
      <c r="I31" s="255">
        <v>360000</v>
      </c>
    </row>
    <row r="32" spans="1:9" s="252" customFormat="1" x14ac:dyDescent="0.25">
      <c r="A32" s="253" t="s">
        <v>446</v>
      </c>
      <c r="B32" s="254"/>
      <c r="C32" s="254">
        <v>1000000</v>
      </c>
      <c r="D32" s="335"/>
      <c r="E32" s="239">
        <f t="shared" si="9"/>
        <v>1000000</v>
      </c>
      <c r="F32" s="239">
        <v>-1000000</v>
      </c>
      <c r="G32" s="158">
        <f t="shared" si="10"/>
        <v>0</v>
      </c>
      <c r="H32" s="254">
        <v>1500000</v>
      </c>
      <c r="I32" s="255">
        <v>1600000</v>
      </c>
    </row>
    <row r="33" spans="1:9" s="252" customFormat="1" x14ac:dyDescent="0.25">
      <c r="A33" s="253" t="s">
        <v>601</v>
      </c>
      <c r="B33" s="254">
        <v>50000</v>
      </c>
      <c r="C33" s="254">
        <v>150000</v>
      </c>
      <c r="D33" s="335"/>
      <c r="E33" s="239">
        <f t="shared" si="9"/>
        <v>150000</v>
      </c>
      <c r="F33" s="239">
        <v>-50000</v>
      </c>
      <c r="G33" s="158">
        <f t="shared" si="10"/>
        <v>100000</v>
      </c>
      <c r="H33" s="254">
        <v>180000</v>
      </c>
      <c r="I33" s="255">
        <v>190000</v>
      </c>
    </row>
    <row r="34" spans="1:9" s="557" customFormat="1" x14ac:dyDescent="0.25">
      <c r="A34" s="253" t="s">
        <v>602</v>
      </c>
      <c r="B34" s="254">
        <v>50000</v>
      </c>
      <c r="C34" s="254">
        <v>260000</v>
      </c>
      <c r="D34" s="335"/>
      <c r="E34" s="239">
        <f t="shared" si="9"/>
        <v>260000</v>
      </c>
      <c r="F34" s="239">
        <v>-260000</v>
      </c>
      <c r="G34" s="158">
        <f t="shared" si="10"/>
        <v>0</v>
      </c>
      <c r="H34" s="254">
        <v>290000</v>
      </c>
      <c r="I34" s="255">
        <v>300000</v>
      </c>
    </row>
    <row r="35" spans="1:9" s="252" customFormat="1" x14ac:dyDescent="0.25">
      <c r="A35" s="271" t="s">
        <v>583</v>
      </c>
      <c r="B35" s="158">
        <v>50000</v>
      </c>
      <c r="C35" s="254">
        <v>100000</v>
      </c>
      <c r="D35" s="335"/>
      <c r="E35" s="239">
        <f t="shared" si="9"/>
        <v>100000</v>
      </c>
      <c r="F35" s="239">
        <v>-100000</v>
      </c>
      <c r="G35" s="158">
        <f t="shared" si="10"/>
        <v>0</v>
      </c>
      <c r="H35" s="254">
        <v>120000</v>
      </c>
      <c r="I35" s="255">
        <v>130000</v>
      </c>
    </row>
    <row r="36" spans="1:9" s="272" customFormat="1" x14ac:dyDescent="0.25">
      <c r="A36" s="424" t="s">
        <v>42</v>
      </c>
      <c r="B36" s="246">
        <f>SUM(B19:B35)</f>
        <v>1025000</v>
      </c>
      <c r="C36" s="246">
        <f>SUM(C18:C35)</f>
        <v>3603820.9375</v>
      </c>
      <c r="D36" s="246">
        <f>SUM(D18:D35)</f>
        <v>219173</v>
      </c>
      <c r="E36" s="246">
        <f>SUM(E18:E35)</f>
        <v>3384647.9375</v>
      </c>
      <c r="F36" s="246">
        <f t="shared" ref="F36:G36" si="12">SUM(F18:F35)</f>
        <v>-2865942</v>
      </c>
      <c r="G36" s="246">
        <f t="shared" si="12"/>
        <v>737878.9375</v>
      </c>
      <c r="H36" s="246">
        <f>SUM(H18:H35)</f>
        <v>4325226.24609375</v>
      </c>
      <c r="I36" s="246">
        <f>SUM(I18:I35)</f>
        <v>4518898.8239746094</v>
      </c>
    </row>
    <row r="37" spans="1:9" s="272" customFormat="1" x14ac:dyDescent="0.25">
      <c r="A37" s="425"/>
      <c r="B37" s="158"/>
      <c r="C37" s="158"/>
      <c r="D37" s="158"/>
      <c r="E37" s="158"/>
      <c r="F37" s="158"/>
      <c r="G37" s="158"/>
      <c r="H37" s="158"/>
      <c r="I37" s="386">
        <f>H37*6.9%+H37</f>
        <v>0</v>
      </c>
    </row>
    <row r="38" spans="1:9" s="272" customFormat="1" ht="15.75" thickBot="1" x14ac:dyDescent="0.3">
      <c r="A38" s="426" t="s">
        <v>44</v>
      </c>
      <c r="B38" s="392">
        <f ca="1">B9+B16+B36</f>
        <v>2248627</v>
      </c>
      <c r="C38" s="392">
        <f>C9+C16+C36</f>
        <v>4752864.3125</v>
      </c>
      <c r="D38" s="392">
        <f>D9+D16+D36</f>
        <v>839489</v>
      </c>
      <c r="E38" s="392">
        <f>E9+E16+E36</f>
        <v>3913375.3125</v>
      </c>
      <c r="F38" s="392">
        <f t="shared" ref="F38:G38" si="13">F9+F16+F36</f>
        <v>-2872482</v>
      </c>
      <c r="G38" s="392">
        <f t="shared" si="13"/>
        <v>1880382.3125</v>
      </c>
      <c r="H38" s="392">
        <f>H9+H16+H36</f>
        <v>5546127.7320312504</v>
      </c>
      <c r="I38" s="393">
        <f>I9+I16+I36</f>
        <v>5816152.5128832031</v>
      </c>
    </row>
  </sheetData>
  <pageMargins left="0.74803149606299213" right="0.74803149606299213" top="0.98425196850393704" bottom="0.6692913385826772" header="0.51181102362204722" footer="0.51181102362204722"/>
  <pageSetup scale="86" orientation="landscape" r:id="rId1"/>
  <headerFooter alignWithMargins="0">
    <oddFooter>&amp;C&amp;A&amp;RPage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I33"/>
  <sheetViews>
    <sheetView view="pageBreakPreview" topLeftCell="A5" zoomScale="60" zoomScaleNormal="100" workbookViewId="0">
      <selection activeCell="F40" sqref="F40"/>
    </sheetView>
  </sheetViews>
  <sheetFormatPr defaultColWidth="9.28515625" defaultRowHeight="15" x14ac:dyDescent="0.25"/>
  <cols>
    <col min="1" max="1" width="22.28515625" style="352" customWidth="1"/>
    <col min="2" max="2" width="14.28515625" style="247" hidden="1" customWidth="1"/>
    <col min="3" max="7" width="15.7109375" style="247" customWidth="1"/>
    <col min="8" max="8" width="15.28515625" style="247" customWidth="1"/>
    <col min="9" max="9" width="14.42578125" style="352" customWidth="1"/>
    <col min="10" max="16384" width="9.28515625" style="352"/>
  </cols>
  <sheetData>
    <row r="1" spans="1:9" s="272" customFormat="1" ht="18.75" x14ac:dyDescent="0.3">
      <c r="A1" s="515" t="s">
        <v>494</v>
      </c>
      <c r="B1" s="363"/>
      <c r="C1" s="362"/>
      <c r="D1" s="362"/>
      <c r="E1" s="362"/>
      <c r="F1" s="362"/>
      <c r="G1" s="362"/>
      <c r="H1" s="362"/>
    </row>
    <row r="2" spans="1:9" s="272" customFormat="1" ht="16.5" thickBot="1" x14ac:dyDescent="0.3">
      <c r="A2" s="525"/>
      <c r="B2" s="364"/>
      <c r="C2" s="367"/>
      <c r="D2" s="367"/>
      <c r="E2" s="367"/>
      <c r="F2" s="367"/>
      <c r="G2" s="367"/>
      <c r="H2" s="367"/>
    </row>
    <row r="3" spans="1:9" s="272" customFormat="1" ht="39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525104</v>
      </c>
      <c r="C4" s="158">
        <f>B4*6.25%+B4</f>
        <v>557923</v>
      </c>
      <c r="D4" s="239">
        <v>217830</v>
      </c>
      <c r="E4" s="239">
        <f>C4-D4</f>
        <v>340093</v>
      </c>
      <c r="F4" s="239">
        <v>-100000</v>
      </c>
      <c r="G4" s="158">
        <f>C4+F4</f>
        <v>457923</v>
      </c>
      <c r="H4" s="158">
        <f>C4*6.25%+C4</f>
        <v>592793.1875</v>
      </c>
      <c r="I4" s="386">
        <f>H4*6.25%+H4</f>
        <v>629842.76171875</v>
      </c>
    </row>
    <row r="5" spans="1:9" s="272" customFormat="1" x14ac:dyDescent="0.25">
      <c r="A5" s="253" t="s">
        <v>3</v>
      </c>
      <c r="B5" s="158">
        <v>43759</v>
      </c>
      <c r="C5" s="158">
        <f t="shared" ref="C5:I8" si="0">B5*6.25%+B5</f>
        <v>46493.9375</v>
      </c>
      <c r="D5" s="239"/>
      <c r="E5" s="239">
        <f t="shared" ref="E5:E8" si="1">C5-D5</f>
        <v>46493.9375</v>
      </c>
      <c r="F5" s="239">
        <v>-10000</v>
      </c>
      <c r="G5" s="158">
        <f t="shared" ref="G5:G8" si="2">C5+F5</f>
        <v>36493.9375</v>
      </c>
      <c r="H5" s="158">
        <f>C5*6.25%+C5</f>
        <v>49399.80859375</v>
      </c>
      <c r="I5" s="386">
        <f t="shared" si="0"/>
        <v>52487.296630859375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/>
      <c r="E6" s="239">
        <f t="shared" si="1"/>
        <v>10200</v>
      </c>
      <c r="F6" s="239">
        <v>0</v>
      </c>
      <c r="G6" s="158">
        <f t="shared" si="2"/>
        <v>10200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38336</v>
      </c>
      <c r="D7" s="239"/>
      <c r="E7" s="239">
        <f t="shared" si="1"/>
        <v>38336</v>
      </c>
      <c r="F7" s="239">
        <v>0</v>
      </c>
      <c r="G7" s="158">
        <f t="shared" si="2"/>
        <v>38336</v>
      </c>
      <c r="H7" s="158">
        <f>C7*6.25%+C7</f>
        <v>40732</v>
      </c>
      <c r="I7" s="386">
        <f>H7*6.25%+H7</f>
        <v>43277.75</v>
      </c>
    </row>
    <row r="8" spans="1:9" s="272" customFormat="1" x14ac:dyDescent="0.25">
      <c r="A8" s="253" t="s">
        <v>85</v>
      </c>
      <c r="B8" s="158">
        <v>202054</v>
      </c>
      <c r="C8" s="158">
        <f t="shared" si="0"/>
        <v>214682.375</v>
      </c>
      <c r="D8" s="239">
        <v>88170</v>
      </c>
      <c r="E8" s="239">
        <f t="shared" si="1"/>
        <v>126512.375</v>
      </c>
      <c r="F8" s="239">
        <v>-20000</v>
      </c>
      <c r="G8" s="158">
        <f t="shared" si="2"/>
        <v>194682.375</v>
      </c>
      <c r="H8" s="158">
        <f>C8*6.25%+C8</f>
        <v>228100.0234375</v>
      </c>
      <c r="I8" s="386">
        <f t="shared" si="0"/>
        <v>242356.27490234375</v>
      </c>
    </row>
    <row r="9" spans="1:9" s="272" customFormat="1" x14ac:dyDescent="0.25">
      <c r="A9" s="424" t="s">
        <v>40</v>
      </c>
      <c r="B9" s="246">
        <f>SUM(B4:B8)</f>
        <v>780517</v>
      </c>
      <c r="C9" s="351">
        <f>SUM(C4:C8)</f>
        <v>867635.3125</v>
      </c>
      <c r="D9" s="351">
        <f>SUM(D4:D8)</f>
        <v>306000</v>
      </c>
      <c r="E9" s="351">
        <f>SUM(E4:E8)</f>
        <v>561635.3125</v>
      </c>
      <c r="F9" s="351">
        <f t="shared" ref="F9:G9" si="3">SUM(F4:F8)</f>
        <v>-130000</v>
      </c>
      <c r="G9" s="351">
        <f t="shared" si="3"/>
        <v>737635.3125</v>
      </c>
      <c r="H9" s="351">
        <f>SUM(H4:H8)</f>
        <v>921862.51953125</v>
      </c>
      <c r="I9" s="387">
        <f>SUM(I4:I8)</f>
        <v>979478.92700195313</v>
      </c>
    </row>
    <row r="10" spans="1:9" s="272" customFormat="1" x14ac:dyDescent="0.25">
      <c r="A10" s="253"/>
      <c r="B10" s="246"/>
      <c r="C10" s="239"/>
      <c r="D10" s="239"/>
      <c r="E10" s="239"/>
      <c r="F10" s="239"/>
      <c r="G10" s="239"/>
      <c r="H10" s="158"/>
      <c r="I10" s="386"/>
    </row>
    <row r="11" spans="1:9" s="272" customFormat="1" x14ac:dyDescent="0.25">
      <c r="A11" s="253" t="s">
        <v>6</v>
      </c>
      <c r="B11" s="158">
        <v>46452</v>
      </c>
      <c r="C11" s="158">
        <f>B11*6.25%+B11</f>
        <v>49355.25</v>
      </c>
      <c r="D11" s="239"/>
      <c r="E11" s="239">
        <f t="shared" ref="E11:E15" si="4">C11-D11</f>
        <v>49355.25</v>
      </c>
      <c r="F11" s="239">
        <v>0</v>
      </c>
      <c r="G11" s="158">
        <f t="shared" ref="G11:G15" si="5">C11+F11</f>
        <v>49355.25</v>
      </c>
      <c r="H11" s="158">
        <f>C11*6.25%+C11</f>
        <v>52439.953125</v>
      </c>
      <c r="I11" s="386">
        <f>H11*6.25%+H11</f>
        <v>55717.4501953125</v>
      </c>
    </row>
    <row r="12" spans="1:9" s="272" customFormat="1" x14ac:dyDescent="0.25">
      <c r="A12" s="253" t="s">
        <v>7</v>
      </c>
      <c r="B12" s="158">
        <v>5251</v>
      </c>
      <c r="C12" s="158">
        <f t="shared" ref="C12:I13" si="6">B12*6.25%+B12</f>
        <v>5579.1875</v>
      </c>
      <c r="D12" s="239"/>
      <c r="E12" s="239">
        <f t="shared" si="4"/>
        <v>5579.1875</v>
      </c>
      <c r="F12" s="239">
        <v>0</v>
      </c>
      <c r="G12" s="158">
        <f t="shared" si="5"/>
        <v>5579.1875</v>
      </c>
      <c r="H12" s="158">
        <f>C12*6.25%+C12</f>
        <v>5927.88671875</v>
      </c>
      <c r="I12" s="386">
        <f t="shared" si="6"/>
        <v>6298.379638671875</v>
      </c>
    </row>
    <row r="13" spans="1:9" s="272" customFormat="1" x14ac:dyDescent="0.25">
      <c r="A13" s="253" t="s">
        <v>53</v>
      </c>
      <c r="B13" s="158">
        <v>115523</v>
      </c>
      <c r="C13" s="158">
        <f t="shared" si="6"/>
        <v>122743.1875</v>
      </c>
      <c r="D13" s="239"/>
      <c r="E13" s="239">
        <f t="shared" si="4"/>
        <v>122743.1875</v>
      </c>
      <c r="F13" s="239">
        <v>0</v>
      </c>
      <c r="G13" s="158">
        <f t="shared" si="5"/>
        <v>122743.1875</v>
      </c>
      <c r="H13" s="158">
        <f>C13*6.25%+C13</f>
        <v>130414.63671875</v>
      </c>
      <c r="I13" s="386">
        <f t="shared" si="6"/>
        <v>138565.55151367188</v>
      </c>
    </row>
    <row r="14" spans="1:9" s="272" customFormat="1" x14ac:dyDescent="0.25">
      <c r="A14" s="253" t="s">
        <v>451</v>
      </c>
      <c r="B14" s="158"/>
      <c r="C14" s="158">
        <v>5400</v>
      </c>
      <c r="D14" s="239"/>
      <c r="E14" s="239">
        <f t="shared" si="4"/>
        <v>5400</v>
      </c>
      <c r="F14" s="239">
        <v>-5400</v>
      </c>
      <c r="G14" s="158">
        <f t="shared" si="5"/>
        <v>0</v>
      </c>
      <c r="H14" s="158">
        <v>5772.6</v>
      </c>
      <c r="I14" s="386">
        <v>6170.9094000000005</v>
      </c>
    </row>
    <row r="15" spans="1:9" s="754" customFormat="1" x14ac:dyDescent="0.25">
      <c r="A15" s="785" t="s">
        <v>872</v>
      </c>
      <c r="B15" s="158"/>
      <c r="C15" s="239"/>
      <c r="D15" s="239"/>
      <c r="E15" s="239">
        <f t="shared" si="4"/>
        <v>0</v>
      </c>
      <c r="F15" s="239">
        <v>60</v>
      </c>
      <c r="G15" s="158">
        <f t="shared" si="5"/>
        <v>60</v>
      </c>
      <c r="H15" s="239"/>
      <c r="I15" s="239"/>
    </row>
    <row r="16" spans="1:9" s="272" customFormat="1" x14ac:dyDescent="0.25">
      <c r="A16" s="424" t="s">
        <v>41</v>
      </c>
      <c r="B16" s="246">
        <f ca="1">SUM(B11:B18)</f>
        <v>344954</v>
      </c>
      <c r="C16" s="351">
        <f>SUM(C11:C15)</f>
        <v>183077.625</v>
      </c>
      <c r="D16" s="351">
        <f t="shared" ref="D16:G16" si="7">SUM(D11:D15)</f>
        <v>0</v>
      </c>
      <c r="E16" s="351">
        <f t="shared" si="7"/>
        <v>183077.625</v>
      </c>
      <c r="F16" s="351">
        <f t="shared" si="7"/>
        <v>-5340</v>
      </c>
      <c r="G16" s="351">
        <f t="shared" si="7"/>
        <v>177737.625</v>
      </c>
      <c r="H16" s="351">
        <f>SUM(H11:H14)</f>
        <v>194555.07656250001</v>
      </c>
      <c r="I16" s="351">
        <f>SUM(I11:I14)</f>
        <v>206752.29074765625</v>
      </c>
    </row>
    <row r="17" spans="1:9" s="272" customFormat="1" x14ac:dyDescent="0.25">
      <c r="A17" s="253"/>
      <c r="B17" s="246"/>
      <c r="C17" s="351"/>
      <c r="D17" s="351"/>
      <c r="E17" s="351"/>
      <c r="F17" s="351"/>
      <c r="G17" s="351"/>
      <c r="H17" s="351"/>
      <c r="I17" s="351"/>
    </row>
    <row r="18" spans="1:9" s="272" customFormat="1" x14ac:dyDescent="0.25">
      <c r="A18" s="253" t="s">
        <v>9</v>
      </c>
      <c r="B18" s="158">
        <v>5251</v>
      </c>
      <c r="C18" s="158">
        <f>B18*6.25%+B18</f>
        <v>5579.1875</v>
      </c>
      <c r="D18" s="239"/>
      <c r="E18" s="239">
        <f t="shared" ref="E18:E30" si="8">C18-D18</f>
        <v>5579.1875</v>
      </c>
      <c r="F18" s="239">
        <v>0</v>
      </c>
      <c r="G18" s="158">
        <f t="shared" ref="G18:G30" si="9">C18+F18</f>
        <v>5579.1875</v>
      </c>
      <c r="H18" s="158">
        <f>C18*6.25%+C18</f>
        <v>5927.88671875</v>
      </c>
      <c r="I18" s="386">
        <f>H18*6.25%+H18</f>
        <v>6298.379638671875</v>
      </c>
    </row>
    <row r="19" spans="1:9" s="272" customFormat="1" x14ac:dyDescent="0.25">
      <c r="A19" s="253" t="s">
        <v>55</v>
      </c>
      <c r="B19" s="158">
        <v>21000</v>
      </c>
      <c r="C19" s="158">
        <v>300000</v>
      </c>
      <c r="D19" s="239"/>
      <c r="E19" s="239">
        <f t="shared" si="8"/>
        <v>300000</v>
      </c>
      <c r="F19" s="239">
        <v>0</v>
      </c>
      <c r="G19" s="158">
        <f t="shared" si="9"/>
        <v>300000</v>
      </c>
      <c r="H19" s="158">
        <v>350000</v>
      </c>
      <c r="I19" s="386">
        <v>370000</v>
      </c>
    </row>
    <row r="20" spans="1:9" s="272" customFormat="1" hidden="1" x14ac:dyDescent="0.25">
      <c r="A20" s="253" t="s">
        <v>418</v>
      </c>
      <c r="B20" s="158">
        <v>0</v>
      </c>
      <c r="C20" s="158">
        <f t="shared" ref="C20:I22" si="10">B20*6.25%+B20</f>
        <v>0</v>
      </c>
      <c r="D20" s="239"/>
      <c r="E20" s="239">
        <f t="shared" si="8"/>
        <v>0</v>
      </c>
      <c r="F20" s="239">
        <v>0</v>
      </c>
      <c r="G20" s="158">
        <f t="shared" si="9"/>
        <v>0</v>
      </c>
      <c r="H20" s="158">
        <f>C20*6.25%+C20</f>
        <v>0</v>
      </c>
      <c r="I20" s="386">
        <f t="shared" si="10"/>
        <v>0</v>
      </c>
    </row>
    <row r="21" spans="1:9" s="272" customFormat="1" x14ac:dyDescent="0.25">
      <c r="A21" s="253" t="s">
        <v>59</v>
      </c>
      <c r="B21" s="158">
        <v>3000</v>
      </c>
      <c r="C21" s="158">
        <f t="shared" si="10"/>
        <v>3187.5</v>
      </c>
      <c r="D21" s="239"/>
      <c r="E21" s="239">
        <f t="shared" si="8"/>
        <v>3187.5</v>
      </c>
      <c r="F21" s="239">
        <v>0</v>
      </c>
      <c r="G21" s="158">
        <f t="shared" si="9"/>
        <v>3187.5</v>
      </c>
      <c r="H21" s="158">
        <f>C21*6.25%+C21</f>
        <v>3386.71875</v>
      </c>
      <c r="I21" s="386">
        <f t="shared" si="10"/>
        <v>3598.388671875</v>
      </c>
    </row>
    <row r="22" spans="1:9" s="272" customFormat="1" x14ac:dyDescent="0.25">
      <c r="A22" s="253" t="s">
        <v>51</v>
      </c>
      <c r="B22" s="158">
        <f>30000/2</f>
        <v>15000</v>
      </c>
      <c r="C22" s="158">
        <f t="shared" si="10"/>
        <v>15937.5</v>
      </c>
      <c r="D22" s="239"/>
      <c r="E22" s="239">
        <f t="shared" si="8"/>
        <v>15937.5</v>
      </c>
      <c r="F22" s="239">
        <v>0</v>
      </c>
      <c r="G22" s="158">
        <f t="shared" si="9"/>
        <v>15937.5</v>
      </c>
      <c r="H22" s="158">
        <f>C22*6.25%+C22</f>
        <v>16933.59375</v>
      </c>
      <c r="I22" s="386">
        <f t="shared" si="10"/>
        <v>17991.943359375</v>
      </c>
    </row>
    <row r="23" spans="1:9" s="272" customFormat="1" x14ac:dyDescent="0.25">
      <c r="A23" s="253" t="s">
        <v>743</v>
      </c>
      <c r="B23" s="158">
        <v>50000</v>
      </c>
      <c r="C23" s="158">
        <v>100000</v>
      </c>
      <c r="D23" s="239"/>
      <c r="E23" s="239">
        <f t="shared" si="8"/>
        <v>100000</v>
      </c>
      <c r="F23" s="239"/>
      <c r="G23" s="158">
        <f t="shared" si="9"/>
        <v>100000</v>
      </c>
      <c r="H23" s="158">
        <v>150000</v>
      </c>
      <c r="I23" s="386">
        <v>250000</v>
      </c>
    </row>
    <row r="24" spans="1:9" s="272" customFormat="1" x14ac:dyDescent="0.25">
      <c r="A24" s="253" t="s">
        <v>744</v>
      </c>
      <c r="B24" s="158"/>
      <c r="C24" s="158">
        <v>60000</v>
      </c>
      <c r="D24" s="239"/>
      <c r="E24" s="239">
        <f t="shared" si="8"/>
        <v>60000</v>
      </c>
      <c r="F24" s="879">
        <v>-60000</v>
      </c>
      <c r="G24" s="158">
        <f t="shared" si="9"/>
        <v>0</v>
      </c>
      <c r="H24" s="158">
        <v>65000</v>
      </c>
      <c r="I24" s="386">
        <v>70000</v>
      </c>
    </row>
    <row r="25" spans="1:9" s="272" customFormat="1" x14ac:dyDescent="0.25">
      <c r="A25" s="253" t="s">
        <v>745</v>
      </c>
      <c r="B25" s="158"/>
      <c r="C25" s="158">
        <v>100000</v>
      </c>
      <c r="D25" s="239"/>
      <c r="E25" s="239">
        <f t="shared" si="8"/>
        <v>100000</v>
      </c>
      <c r="F25" s="879">
        <v>-100000</v>
      </c>
      <c r="G25" s="158">
        <f t="shared" si="9"/>
        <v>0</v>
      </c>
      <c r="H25" s="158">
        <v>150000</v>
      </c>
      <c r="I25" s="386">
        <v>200000</v>
      </c>
    </row>
    <row r="26" spans="1:9" s="252" customFormat="1" x14ac:dyDescent="0.25">
      <c r="A26" s="271" t="s">
        <v>296</v>
      </c>
      <c r="B26" s="158">
        <v>50000</v>
      </c>
      <c r="C26" s="158">
        <v>14000</v>
      </c>
      <c r="D26" s="239"/>
      <c r="E26" s="239">
        <f t="shared" si="8"/>
        <v>14000</v>
      </c>
      <c r="F26" s="239">
        <v>-14000</v>
      </c>
      <c r="G26" s="158">
        <f t="shared" si="9"/>
        <v>0</v>
      </c>
      <c r="H26" s="158">
        <v>14000</v>
      </c>
      <c r="I26" s="386">
        <v>14000</v>
      </c>
    </row>
    <row r="27" spans="1:9" s="252" customFormat="1" x14ac:dyDescent="0.25">
      <c r="A27" s="271" t="s">
        <v>311</v>
      </c>
      <c r="B27" s="158">
        <v>50000</v>
      </c>
      <c r="C27" s="158">
        <v>15000</v>
      </c>
      <c r="D27" s="239"/>
      <c r="E27" s="239">
        <f t="shared" si="8"/>
        <v>15000</v>
      </c>
      <c r="F27" s="239">
        <v>0</v>
      </c>
      <c r="G27" s="158">
        <f t="shared" si="9"/>
        <v>15000</v>
      </c>
      <c r="H27" s="158">
        <v>15000</v>
      </c>
      <c r="I27" s="386">
        <v>25000</v>
      </c>
    </row>
    <row r="28" spans="1:9" s="252" customFormat="1" x14ac:dyDescent="0.25">
      <c r="A28" s="271" t="s">
        <v>310</v>
      </c>
      <c r="B28" s="158">
        <v>50000</v>
      </c>
      <c r="C28" s="158">
        <v>10000</v>
      </c>
      <c r="D28" s="239"/>
      <c r="E28" s="239">
        <f t="shared" si="8"/>
        <v>10000</v>
      </c>
      <c r="F28" s="879">
        <v>-10000</v>
      </c>
      <c r="G28" s="158">
        <f t="shared" si="9"/>
        <v>0</v>
      </c>
      <c r="H28" s="158">
        <v>10000</v>
      </c>
      <c r="I28" s="386">
        <v>10000</v>
      </c>
    </row>
    <row r="29" spans="1:9" s="252" customFormat="1" x14ac:dyDescent="0.25">
      <c r="A29" s="271" t="s">
        <v>589</v>
      </c>
      <c r="B29" s="158">
        <v>100000</v>
      </c>
      <c r="C29" s="158">
        <v>70000</v>
      </c>
      <c r="D29" s="239"/>
      <c r="E29" s="239">
        <f t="shared" si="8"/>
        <v>70000</v>
      </c>
      <c r="F29" s="879">
        <v>-70000</v>
      </c>
      <c r="G29" s="158">
        <f t="shared" si="9"/>
        <v>0</v>
      </c>
      <c r="H29" s="158">
        <v>85000</v>
      </c>
      <c r="I29" s="386">
        <v>90000</v>
      </c>
    </row>
    <row r="30" spans="1:9" s="252" customFormat="1" x14ac:dyDescent="0.25">
      <c r="A30" s="271" t="s">
        <v>444</v>
      </c>
      <c r="B30" s="158">
        <v>50000</v>
      </c>
      <c r="C30" s="158">
        <v>10000</v>
      </c>
      <c r="D30" s="239"/>
      <c r="E30" s="239">
        <f t="shared" si="8"/>
        <v>10000</v>
      </c>
      <c r="F30" s="879">
        <v>-10000</v>
      </c>
      <c r="G30" s="158">
        <f t="shared" si="9"/>
        <v>0</v>
      </c>
      <c r="H30" s="158">
        <v>10000</v>
      </c>
      <c r="I30" s="386">
        <v>15000</v>
      </c>
    </row>
    <row r="31" spans="1:9" s="272" customFormat="1" x14ac:dyDescent="0.25">
      <c r="A31" s="424" t="s">
        <v>42</v>
      </c>
      <c r="B31" s="246">
        <f>SUM(B19:B30)</f>
        <v>389000</v>
      </c>
      <c r="C31" s="351">
        <f>SUM(C18:C30)</f>
        <v>703704.1875</v>
      </c>
      <c r="D31" s="351">
        <f>SUM(D18:D30)</f>
        <v>0</v>
      </c>
      <c r="E31" s="351">
        <f>SUM(E18:E30)</f>
        <v>703704.1875</v>
      </c>
      <c r="F31" s="351">
        <f t="shared" ref="F31:G31" si="11">SUM(F18:F30)</f>
        <v>-264000</v>
      </c>
      <c r="G31" s="351">
        <f t="shared" si="11"/>
        <v>439704.1875</v>
      </c>
      <c r="H31" s="351">
        <f>SUM(H18:H30)</f>
        <v>875248.19921875</v>
      </c>
      <c r="I31" s="351">
        <f>SUM(I18:I30)</f>
        <v>1071888.7116699219</v>
      </c>
    </row>
    <row r="32" spans="1:9" s="272" customFormat="1" x14ac:dyDescent="0.25">
      <c r="A32" s="425"/>
      <c r="B32" s="158"/>
      <c r="C32" s="239"/>
      <c r="D32" s="239"/>
      <c r="E32" s="239"/>
      <c r="F32" s="239"/>
      <c r="G32" s="239"/>
      <c r="H32" s="158"/>
      <c r="I32" s="386"/>
    </row>
    <row r="33" spans="1:9" s="272" customFormat="1" ht="15.75" thickBot="1" x14ac:dyDescent="0.3">
      <c r="A33" s="426" t="s">
        <v>44</v>
      </c>
      <c r="B33" s="392">
        <f ca="1">B9+B16+B31</f>
        <v>1514471</v>
      </c>
      <c r="C33" s="422">
        <f>C9+C16+C31</f>
        <v>1754417.125</v>
      </c>
      <c r="D33" s="422">
        <f>D9+D16+D31</f>
        <v>306000</v>
      </c>
      <c r="E33" s="422">
        <f>E9+E16+E31</f>
        <v>1448417.125</v>
      </c>
      <c r="F33" s="422">
        <f t="shared" ref="F33:G33" si="12">F9+F16+F31</f>
        <v>-399340</v>
      </c>
      <c r="G33" s="422">
        <f t="shared" si="12"/>
        <v>1355077.125</v>
      </c>
      <c r="H33" s="422">
        <f>H9+H16+H31</f>
        <v>1991665.7953125001</v>
      </c>
      <c r="I33" s="393">
        <f>I9+I16+I31</f>
        <v>2258119.9294195315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>
    <oddFooter>&amp;A&amp;RPage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31"/>
  <sheetViews>
    <sheetView view="pageBreakPreview" zoomScale="60" zoomScaleNormal="100" workbookViewId="0">
      <selection activeCell="F28" sqref="F28"/>
    </sheetView>
  </sheetViews>
  <sheetFormatPr defaultColWidth="9.28515625" defaultRowHeight="15" x14ac:dyDescent="0.25"/>
  <cols>
    <col min="1" max="1" width="33.28515625" style="352" customWidth="1"/>
    <col min="2" max="2" width="14.42578125" style="247" hidden="1" customWidth="1"/>
    <col min="3" max="7" width="15.42578125" style="247" customWidth="1"/>
    <col min="8" max="8" width="16.7109375" style="247" customWidth="1"/>
    <col min="9" max="9" width="14" style="352" customWidth="1"/>
    <col min="10" max="16384" width="9.28515625" style="352"/>
  </cols>
  <sheetData>
    <row r="1" spans="1:9" s="272" customFormat="1" ht="18.75" x14ac:dyDescent="0.3">
      <c r="A1" s="515" t="s">
        <v>495</v>
      </c>
      <c r="B1" s="363"/>
      <c r="C1" s="362"/>
      <c r="D1" s="362"/>
      <c r="E1" s="362"/>
      <c r="F1" s="362"/>
      <c r="G1" s="362"/>
      <c r="H1" s="362"/>
    </row>
    <row r="2" spans="1:9" s="272" customFormat="1" ht="16.5" thickBot="1" x14ac:dyDescent="0.3">
      <c r="A2" s="525"/>
      <c r="B2" s="364"/>
      <c r="C2" s="367"/>
      <c r="D2" s="367"/>
      <c r="E2" s="367"/>
      <c r="F2" s="367"/>
      <c r="G2" s="367"/>
      <c r="H2" s="367"/>
    </row>
    <row r="3" spans="1:9" s="272" customFormat="1" ht="39" customHeight="1" thickBot="1" x14ac:dyDescent="0.3">
      <c r="A3" s="517" t="s">
        <v>39</v>
      </c>
      <c r="B3" s="384" t="s">
        <v>393</v>
      </c>
      <c r="C3" s="384" t="s">
        <v>442</v>
      </c>
      <c r="D3" s="604" t="s">
        <v>800</v>
      </c>
      <c r="E3" s="715" t="s">
        <v>87</v>
      </c>
      <c r="F3" s="860" t="s">
        <v>164</v>
      </c>
      <c r="G3" s="605" t="s">
        <v>789</v>
      </c>
      <c r="H3" s="384" t="s">
        <v>556</v>
      </c>
      <c r="I3" s="428" t="s">
        <v>644</v>
      </c>
    </row>
    <row r="4" spans="1:9" s="272" customFormat="1" x14ac:dyDescent="0.25">
      <c r="A4" s="253" t="s">
        <v>2</v>
      </c>
      <c r="B4" s="158">
        <v>525104</v>
      </c>
      <c r="C4" s="158">
        <f>B4*6.25%+B4</f>
        <v>557923</v>
      </c>
      <c r="D4" s="239">
        <v>217895</v>
      </c>
      <c r="E4" s="239">
        <f>C4-D4</f>
        <v>340028</v>
      </c>
      <c r="F4" s="239">
        <v>-100000</v>
      </c>
      <c r="G4" s="158">
        <f>C4+F4</f>
        <v>457923</v>
      </c>
      <c r="H4" s="158">
        <f>C4*6.25%+C4</f>
        <v>592793.1875</v>
      </c>
      <c r="I4" s="386">
        <f>H4*6.25%+H4</f>
        <v>629842.76171875</v>
      </c>
    </row>
    <row r="5" spans="1:9" s="272" customFormat="1" x14ac:dyDescent="0.25">
      <c r="A5" s="253" t="s">
        <v>3</v>
      </c>
      <c r="B5" s="158">
        <v>43759</v>
      </c>
      <c r="C5" s="158">
        <f t="shared" ref="C5:I8" si="0">B5*6.25%+B5</f>
        <v>46493.9375</v>
      </c>
      <c r="D5" s="239">
        <v>36306</v>
      </c>
      <c r="E5" s="239">
        <f t="shared" ref="E5:E8" si="1">C5-D5</f>
        <v>10187.9375</v>
      </c>
      <c r="F5" s="239">
        <v>-10188</v>
      </c>
      <c r="G5" s="158">
        <f t="shared" ref="G5:G8" si="2">C5+F5</f>
        <v>36305.9375</v>
      </c>
      <c r="H5" s="158">
        <f>C5*6.25%+C5</f>
        <v>49399.80859375</v>
      </c>
      <c r="I5" s="386">
        <f t="shared" si="0"/>
        <v>52487.296630859375</v>
      </c>
    </row>
    <row r="6" spans="1:9" s="272" customFormat="1" x14ac:dyDescent="0.25">
      <c r="A6" s="253" t="s">
        <v>4</v>
      </c>
      <c r="B6" s="158">
        <v>9600</v>
      </c>
      <c r="C6" s="158">
        <f t="shared" si="0"/>
        <v>10200</v>
      </c>
      <c r="D6" s="239"/>
      <c r="E6" s="239">
        <f t="shared" si="1"/>
        <v>10200</v>
      </c>
      <c r="F6" s="239">
        <v>-6000</v>
      </c>
      <c r="G6" s="158">
        <f t="shared" si="2"/>
        <v>4200</v>
      </c>
      <c r="H6" s="158">
        <f>C6*6.25%+C6</f>
        <v>10837.5</v>
      </c>
      <c r="I6" s="386">
        <f t="shared" si="0"/>
        <v>11514.84375</v>
      </c>
    </row>
    <row r="7" spans="1:9" s="272" customFormat="1" x14ac:dyDescent="0.25">
      <c r="A7" s="253" t="s">
        <v>173</v>
      </c>
      <c r="B7" s="158"/>
      <c r="C7" s="158">
        <v>38336</v>
      </c>
      <c r="D7" s="239"/>
      <c r="E7" s="239">
        <f t="shared" si="1"/>
        <v>38336</v>
      </c>
      <c r="F7" s="239">
        <v>0</v>
      </c>
      <c r="G7" s="158">
        <f t="shared" si="2"/>
        <v>38336</v>
      </c>
      <c r="H7" s="158">
        <f>C7*6.25%+C7</f>
        <v>40732</v>
      </c>
      <c r="I7" s="386">
        <f>H7*6.25%+H7</f>
        <v>43277.75</v>
      </c>
    </row>
    <row r="8" spans="1:9" s="272" customFormat="1" x14ac:dyDescent="0.25">
      <c r="A8" s="253" t="s">
        <v>85</v>
      </c>
      <c r="B8" s="158">
        <v>202054</v>
      </c>
      <c r="C8" s="158">
        <f t="shared" si="0"/>
        <v>214682.375</v>
      </c>
      <c r="D8" s="239">
        <v>88173</v>
      </c>
      <c r="E8" s="239">
        <f t="shared" si="1"/>
        <v>126509.375</v>
      </c>
      <c r="F8" s="239">
        <v>-20000</v>
      </c>
      <c r="G8" s="158">
        <f t="shared" si="2"/>
        <v>194682.375</v>
      </c>
      <c r="H8" s="158">
        <f>C8*6.25%+C8</f>
        <v>228100.0234375</v>
      </c>
      <c r="I8" s="386">
        <f t="shared" si="0"/>
        <v>242356.27490234375</v>
      </c>
    </row>
    <row r="9" spans="1:9" s="272" customFormat="1" x14ac:dyDescent="0.25">
      <c r="A9" s="424" t="s">
        <v>40</v>
      </c>
      <c r="B9" s="246">
        <f>SUM(B4:B8)</f>
        <v>780517</v>
      </c>
      <c r="C9" s="246">
        <f>SUM(C4:C8)</f>
        <v>867635.3125</v>
      </c>
      <c r="D9" s="246">
        <f>SUM(D4:D8)</f>
        <v>342374</v>
      </c>
      <c r="E9" s="246">
        <f>SUM(E4:E8)</f>
        <v>525261.3125</v>
      </c>
      <c r="F9" s="246">
        <f t="shared" ref="F9:G9" si="3">SUM(F4:F8)</f>
        <v>-136188</v>
      </c>
      <c r="G9" s="246">
        <f t="shared" si="3"/>
        <v>731447.3125</v>
      </c>
      <c r="H9" s="246">
        <f>SUM(H4:H8)</f>
        <v>921862.51953125</v>
      </c>
      <c r="I9" s="387">
        <f>SUM(I4:I8)</f>
        <v>979478.92700195313</v>
      </c>
    </row>
    <row r="10" spans="1:9" s="272" customFormat="1" x14ac:dyDescent="0.25">
      <c r="A10" s="253"/>
      <c r="B10" s="246"/>
      <c r="C10" s="158"/>
      <c r="D10" s="158"/>
      <c r="E10" s="158"/>
      <c r="F10" s="158"/>
      <c r="G10" s="158"/>
      <c r="H10" s="158"/>
      <c r="I10" s="386">
        <f>H10*6.9%+H10</f>
        <v>0</v>
      </c>
    </row>
    <row r="11" spans="1:9" s="272" customFormat="1" x14ac:dyDescent="0.25">
      <c r="A11" s="253" t="s">
        <v>6</v>
      </c>
      <c r="B11" s="158">
        <v>46452</v>
      </c>
      <c r="C11" s="158">
        <f>B11*6.25%+B11</f>
        <v>49355.25</v>
      </c>
      <c r="D11" s="239">
        <v>21798</v>
      </c>
      <c r="E11" s="239">
        <f t="shared" ref="E11:E14" si="4">C11-D11</f>
        <v>27557.25</v>
      </c>
      <c r="F11" s="239">
        <v>-5000</v>
      </c>
      <c r="G11" s="158">
        <f t="shared" ref="G11:G15" si="5">C11+F11</f>
        <v>44355.25</v>
      </c>
      <c r="H11" s="158">
        <f>C11*6.25%+C11</f>
        <v>52439.953125</v>
      </c>
      <c r="I11" s="386">
        <f>H11*6.25%+H11</f>
        <v>55717.4501953125</v>
      </c>
    </row>
    <row r="12" spans="1:9" s="272" customFormat="1" x14ac:dyDescent="0.25">
      <c r="A12" s="253" t="s">
        <v>7</v>
      </c>
      <c r="B12" s="158">
        <v>5251</v>
      </c>
      <c r="C12" s="158">
        <f t="shared" ref="C12:I13" si="6">B12*6.25%+B12</f>
        <v>5579.1875</v>
      </c>
      <c r="D12" s="239">
        <v>892</v>
      </c>
      <c r="E12" s="239">
        <f t="shared" si="4"/>
        <v>4687.1875</v>
      </c>
      <c r="F12" s="239">
        <v>-4000</v>
      </c>
      <c r="G12" s="158">
        <f t="shared" si="5"/>
        <v>1579.1875</v>
      </c>
      <c r="H12" s="158">
        <f>C12*6.25%+C12</f>
        <v>5927.88671875</v>
      </c>
      <c r="I12" s="386">
        <f t="shared" si="6"/>
        <v>6298.379638671875</v>
      </c>
    </row>
    <row r="13" spans="1:9" s="272" customFormat="1" x14ac:dyDescent="0.25">
      <c r="A13" s="253" t="s">
        <v>53</v>
      </c>
      <c r="B13" s="158">
        <v>115523</v>
      </c>
      <c r="C13" s="158">
        <f t="shared" si="6"/>
        <v>122743.1875</v>
      </c>
      <c r="D13" s="239">
        <v>39210</v>
      </c>
      <c r="E13" s="239">
        <f t="shared" si="4"/>
        <v>83533.1875</v>
      </c>
      <c r="F13" s="239">
        <v>-30000</v>
      </c>
      <c r="G13" s="158">
        <f t="shared" si="5"/>
        <v>92743.1875</v>
      </c>
      <c r="H13" s="158">
        <f>C13*6.25%+C13</f>
        <v>130414.63671875</v>
      </c>
      <c r="I13" s="386">
        <f t="shared" si="6"/>
        <v>138565.55151367188</v>
      </c>
    </row>
    <row r="14" spans="1:9" s="93" customFormat="1" x14ac:dyDescent="0.25">
      <c r="A14" s="96" t="s">
        <v>451</v>
      </c>
      <c r="B14" s="91"/>
      <c r="C14" s="91">
        <v>5400</v>
      </c>
      <c r="D14" s="176"/>
      <c r="E14" s="239">
        <f t="shared" si="4"/>
        <v>5400</v>
      </c>
      <c r="F14" s="239">
        <v>-5400</v>
      </c>
      <c r="G14" s="158">
        <f t="shared" si="5"/>
        <v>0</v>
      </c>
      <c r="H14" s="91">
        <v>5772.6</v>
      </c>
      <c r="I14" s="404">
        <v>6170.9094000000005</v>
      </c>
    </row>
    <row r="15" spans="1:9" s="746" customFormat="1" x14ac:dyDescent="0.25">
      <c r="A15" s="785" t="s">
        <v>872</v>
      </c>
      <c r="B15" s="91"/>
      <c r="C15" s="91"/>
      <c r="D15" s="176"/>
      <c r="E15" s="239"/>
      <c r="F15" s="239">
        <v>60</v>
      </c>
      <c r="G15" s="158">
        <f t="shared" si="5"/>
        <v>60</v>
      </c>
      <c r="H15" s="91"/>
      <c r="I15" s="176"/>
    </row>
    <row r="16" spans="1:9" s="272" customFormat="1" x14ac:dyDescent="0.25">
      <c r="A16" s="424" t="s">
        <v>41</v>
      </c>
      <c r="B16" s="246">
        <f ca="1">SUM(B11:B18)</f>
        <v>344954</v>
      </c>
      <c r="C16" s="246">
        <f>SUM(C11:C15)</f>
        <v>183077.625</v>
      </c>
      <c r="D16" s="246">
        <f t="shared" ref="D16:I16" si="7">SUM(D11:D15)</f>
        <v>61900</v>
      </c>
      <c r="E16" s="246">
        <f t="shared" si="7"/>
        <v>121177.625</v>
      </c>
      <c r="F16" s="246">
        <f t="shared" si="7"/>
        <v>-44340</v>
      </c>
      <c r="G16" s="246">
        <f t="shared" si="7"/>
        <v>138737.625</v>
      </c>
      <c r="H16" s="246">
        <f t="shared" si="7"/>
        <v>194555.07656250001</v>
      </c>
      <c r="I16" s="246">
        <f t="shared" si="7"/>
        <v>206752.29074765625</v>
      </c>
    </row>
    <row r="17" spans="1:9" s="272" customFormat="1" x14ac:dyDescent="0.25">
      <c r="A17" s="253"/>
      <c r="B17" s="246"/>
      <c r="C17" s="246"/>
      <c r="D17" s="246"/>
      <c r="E17" s="246"/>
      <c r="F17" s="246"/>
      <c r="G17" s="246"/>
      <c r="H17" s="246"/>
      <c r="I17" s="387"/>
    </row>
    <row r="18" spans="1:9" s="272" customFormat="1" x14ac:dyDescent="0.25">
      <c r="A18" s="253" t="s">
        <v>9</v>
      </c>
      <c r="B18" s="158">
        <v>5251</v>
      </c>
      <c r="C18" s="158">
        <f>B18*6.25%+B18</f>
        <v>5579.1875</v>
      </c>
      <c r="D18" s="239">
        <v>355332</v>
      </c>
      <c r="E18" s="239">
        <f t="shared" ref="E18:E26" si="8">C18-D18</f>
        <v>-349752.8125</v>
      </c>
      <c r="F18" s="239">
        <v>380000</v>
      </c>
      <c r="G18" s="158">
        <f t="shared" ref="G18:G26" si="9">C18+F18</f>
        <v>385579.1875</v>
      </c>
      <c r="H18" s="158">
        <f>C18*6.25%+C18</f>
        <v>5927.88671875</v>
      </c>
      <c r="I18" s="386">
        <f>H18*6.25%+H18</f>
        <v>6298.379638671875</v>
      </c>
    </row>
    <row r="19" spans="1:9" s="272" customFormat="1" x14ac:dyDescent="0.25">
      <c r="A19" s="253" t="s">
        <v>59</v>
      </c>
      <c r="B19" s="158">
        <v>3000</v>
      </c>
      <c r="C19" s="158">
        <f t="shared" ref="C19:I20" si="10">B19*6.25%+B19</f>
        <v>3187.5</v>
      </c>
      <c r="D19" s="239"/>
      <c r="E19" s="239">
        <f t="shared" si="8"/>
        <v>3187.5</v>
      </c>
      <c r="F19" s="239">
        <v>0</v>
      </c>
      <c r="G19" s="158">
        <f t="shared" si="9"/>
        <v>3187.5</v>
      </c>
      <c r="H19" s="158">
        <f>C19*6.25%+C19</f>
        <v>3386.71875</v>
      </c>
      <c r="I19" s="386">
        <f t="shared" si="10"/>
        <v>3598.388671875</v>
      </c>
    </row>
    <row r="20" spans="1:9" s="272" customFormat="1" x14ac:dyDescent="0.25">
      <c r="A20" s="253" t="s">
        <v>51</v>
      </c>
      <c r="B20" s="158">
        <f>22200/2</f>
        <v>11100</v>
      </c>
      <c r="C20" s="158">
        <f t="shared" si="10"/>
        <v>11793.75</v>
      </c>
      <c r="D20" s="239"/>
      <c r="E20" s="239">
        <f t="shared" si="8"/>
        <v>11793.75</v>
      </c>
      <c r="F20" s="239">
        <v>0</v>
      </c>
      <c r="G20" s="158">
        <f t="shared" si="9"/>
        <v>11793.75</v>
      </c>
      <c r="H20" s="158">
        <f>C20*6.25%+C20</f>
        <v>12530.859375</v>
      </c>
      <c r="I20" s="386">
        <f t="shared" si="10"/>
        <v>13314.0380859375</v>
      </c>
    </row>
    <row r="21" spans="1:9" s="272" customFormat="1" x14ac:dyDescent="0.25">
      <c r="A21" s="253" t="s">
        <v>293</v>
      </c>
      <c r="B21" s="158">
        <v>200000</v>
      </c>
      <c r="C21" s="158">
        <v>500000</v>
      </c>
      <c r="D21" s="239"/>
      <c r="E21" s="239">
        <f t="shared" si="8"/>
        <v>500000</v>
      </c>
      <c r="F21" s="239">
        <v>-100000</v>
      </c>
      <c r="G21" s="158">
        <f t="shared" si="9"/>
        <v>400000</v>
      </c>
      <c r="H21" s="158">
        <v>550000</v>
      </c>
      <c r="I21" s="386">
        <v>650000</v>
      </c>
    </row>
    <row r="22" spans="1:9" s="272" customFormat="1" x14ac:dyDescent="0.25">
      <c r="A22" s="253" t="s">
        <v>574</v>
      </c>
      <c r="B22" s="158">
        <v>10000</v>
      </c>
      <c r="C22" s="158">
        <v>400000</v>
      </c>
      <c r="D22" s="239"/>
      <c r="E22" s="239">
        <f t="shared" si="8"/>
        <v>400000</v>
      </c>
      <c r="F22" s="239">
        <v>-200000</v>
      </c>
      <c r="G22" s="158">
        <f t="shared" si="9"/>
        <v>200000</v>
      </c>
      <c r="H22" s="158">
        <v>450000</v>
      </c>
      <c r="I22" s="386">
        <v>500000</v>
      </c>
    </row>
    <row r="23" spans="1:9" s="252" customFormat="1" x14ac:dyDescent="0.25">
      <c r="A23" s="271" t="s">
        <v>38</v>
      </c>
      <c r="B23" s="158">
        <v>76000</v>
      </c>
      <c r="C23" s="158">
        <v>300000</v>
      </c>
      <c r="D23" s="239"/>
      <c r="E23" s="239">
        <f t="shared" si="8"/>
        <v>300000</v>
      </c>
      <c r="F23" s="239">
        <v>0</v>
      </c>
      <c r="G23" s="158">
        <f t="shared" si="9"/>
        <v>300000</v>
      </c>
      <c r="H23" s="158">
        <v>450000</v>
      </c>
      <c r="I23" s="386">
        <v>600000</v>
      </c>
    </row>
    <row r="24" spans="1:9" s="272" customFormat="1" x14ac:dyDescent="0.25">
      <c r="A24" s="253" t="s">
        <v>121</v>
      </c>
      <c r="B24" s="158">
        <v>50000</v>
      </c>
      <c r="C24" s="158">
        <v>100000</v>
      </c>
      <c r="D24" s="239"/>
      <c r="E24" s="239">
        <f t="shared" si="8"/>
        <v>100000</v>
      </c>
      <c r="F24" s="239">
        <v>-50000</v>
      </c>
      <c r="G24" s="158">
        <f t="shared" si="9"/>
        <v>50000</v>
      </c>
      <c r="H24" s="158">
        <v>150000</v>
      </c>
      <c r="I24" s="386">
        <v>250000</v>
      </c>
    </row>
    <row r="25" spans="1:9" s="252" customFormat="1" x14ac:dyDescent="0.25">
      <c r="A25" s="271" t="s">
        <v>52</v>
      </c>
      <c r="B25" s="158">
        <v>50000</v>
      </c>
      <c r="C25" s="158">
        <v>60000</v>
      </c>
      <c r="D25" s="239"/>
      <c r="E25" s="239">
        <f t="shared" si="8"/>
        <v>60000</v>
      </c>
      <c r="F25" s="239"/>
      <c r="G25" s="158">
        <f t="shared" si="9"/>
        <v>60000</v>
      </c>
      <c r="H25" s="158">
        <v>75000</v>
      </c>
      <c r="I25" s="386">
        <v>80000</v>
      </c>
    </row>
    <row r="26" spans="1:9" s="252" customFormat="1" x14ac:dyDescent="0.25">
      <c r="A26" s="271" t="s">
        <v>746</v>
      </c>
      <c r="B26" s="158"/>
      <c r="C26" s="158">
        <v>200000</v>
      </c>
      <c r="D26" s="239"/>
      <c r="E26" s="239">
        <f t="shared" si="8"/>
        <v>200000</v>
      </c>
      <c r="F26" s="239">
        <v>-200000</v>
      </c>
      <c r="G26" s="158">
        <f t="shared" si="9"/>
        <v>0</v>
      </c>
      <c r="H26" s="158">
        <v>270000</v>
      </c>
      <c r="I26" s="386">
        <v>300000</v>
      </c>
    </row>
    <row r="27" spans="1:9" s="252" customFormat="1" hidden="1" x14ac:dyDescent="0.25">
      <c r="A27" s="271" t="s">
        <v>573</v>
      </c>
      <c r="B27" s="158">
        <v>200000</v>
      </c>
      <c r="C27" s="158">
        <v>0</v>
      </c>
      <c r="D27" s="158"/>
      <c r="E27" s="158"/>
      <c r="F27" s="158"/>
      <c r="G27" s="158"/>
      <c r="H27" s="158">
        <v>0</v>
      </c>
      <c r="I27" s="386">
        <v>0</v>
      </c>
    </row>
    <row r="28" spans="1:9" s="272" customFormat="1" x14ac:dyDescent="0.25">
      <c r="A28" s="424" t="s">
        <v>42</v>
      </c>
      <c r="B28" s="246">
        <f>SUM(B19:B27)</f>
        <v>600100</v>
      </c>
      <c r="C28" s="246">
        <f>SUM(C18:C26)</f>
        <v>1580560.4375</v>
      </c>
      <c r="D28" s="246">
        <f>SUM(D18:D26)</f>
        <v>355332</v>
      </c>
      <c r="E28" s="246">
        <f>SUM(E18:E26)</f>
        <v>1225228.4375</v>
      </c>
      <c r="F28" s="246">
        <f t="shared" ref="F28:G28" si="11">SUM(F18:F26)</f>
        <v>-170000</v>
      </c>
      <c r="G28" s="246">
        <f t="shared" si="11"/>
        <v>1410560.4375</v>
      </c>
      <c r="H28" s="246">
        <f>SUM(H18:H26)</f>
        <v>1966845.46484375</v>
      </c>
      <c r="I28" s="246">
        <f>SUM(I18:I26)</f>
        <v>2403210.8063964844</v>
      </c>
    </row>
    <row r="29" spans="1:9" s="272" customFormat="1" x14ac:dyDescent="0.25">
      <c r="A29" s="424"/>
      <c r="B29" s="246"/>
      <c r="C29" s="246"/>
      <c r="D29" s="246"/>
      <c r="E29" s="246"/>
      <c r="F29" s="246"/>
      <c r="G29" s="246"/>
      <c r="H29" s="246"/>
      <c r="I29" s="386"/>
    </row>
    <row r="30" spans="1:9" s="272" customFormat="1" ht="15.75" thickBot="1" x14ac:dyDescent="0.3">
      <c r="A30" s="426" t="s">
        <v>44</v>
      </c>
      <c r="B30" s="392">
        <f ca="1">B9+B16+B28</f>
        <v>1553094</v>
      </c>
      <c r="C30" s="392">
        <f>C9+C16+C28</f>
        <v>2631273.375</v>
      </c>
      <c r="D30" s="392">
        <f>D9+D16+D28</f>
        <v>759606</v>
      </c>
      <c r="E30" s="392">
        <f>E9+E16+E28</f>
        <v>1871667.375</v>
      </c>
      <c r="F30" s="392">
        <f t="shared" ref="F30:G30" si="12">F9+F16+F28</f>
        <v>-350528</v>
      </c>
      <c r="G30" s="392">
        <f t="shared" si="12"/>
        <v>2280745.375</v>
      </c>
      <c r="H30" s="392">
        <f>H9+H16+H28</f>
        <v>3083263.0609375001</v>
      </c>
      <c r="I30" s="393">
        <f>I9+I16+I28</f>
        <v>3589442.024146094</v>
      </c>
    </row>
    <row r="31" spans="1:9" x14ac:dyDescent="0.25">
      <c r="A31" s="272"/>
      <c r="B31" s="243"/>
      <c r="C31" s="243"/>
      <c r="D31" s="243"/>
      <c r="E31" s="243"/>
      <c r="F31" s="243"/>
      <c r="G31" s="243"/>
      <c r="H31" s="243"/>
    </row>
  </sheetData>
  <phoneticPr fontId="8" type="noConversion"/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>
    <oddFooter>&amp;A&amp;RPage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15"/>
  <sheetViews>
    <sheetView topLeftCell="A7" zoomScaleNormal="100" workbookViewId="0">
      <selection activeCell="J7" sqref="J7"/>
    </sheetView>
  </sheetViews>
  <sheetFormatPr defaultColWidth="8.85546875" defaultRowHeight="15" x14ac:dyDescent="0.25"/>
  <cols>
    <col min="1" max="1" width="4.28515625" style="19" customWidth="1"/>
    <col min="2" max="2" width="4.7109375" style="19" customWidth="1"/>
    <col min="3" max="3" width="5.28515625" style="19" customWidth="1"/>
    <col min="4" max="4" width="25.28515625" style="19" customWidth="1"/>
    <col min="5" max="5" width="14.7109375" style="63" customWidth="1"/>
    <col min="6" max="6" width="15.28515625" style="63" hidden="1" customWidth="1"/>
    <col min="7" max="7" width="15.42578125" style="63" hidden="1" customWidth="1"/>
    <col min="8" max="8" width="11.7109375" bestFit="1" customWidth="1"/>
    <col min="9" max="9" width="10.7109375" bestFit="1" customWidth="1"/>
    <col min="10" max="10" width="9.28515625" style="220" customWidth="1"/>
    <col min="11" max="11" width="11" style="220" customWidth="1"/>
  </cols>
  <sheetData>
    <row r="1" spans="1:11" s="2" customFormat="1" x14ac:dyDescent="0.25">
      <c r="A1" s="12"/>
      <c r="B1" s="145"/>
      <c r="C1" s="146"/>
      <c r="D1" s="18"/>
      <c r="E1" s="13"/>
      <c r="F1" s="13"/>
      <c r="G1" s="13"/>
      <c r="J1" s="219"/>
      <c r="K1" s="219"/>
    </row>
    <row r="2" spans="1:11" ht="18.75" x14ac:dyDescent="0.3">
      <c r="A2" s="15" t="s">
        <v>429</v>
      </c>
      <c r="B2" s="145"/>
      <c r="C2" s="146"/>
      <c r="D2" s="18"/>
      <c r="E2" s="85"/>
      <c r="F2" s="85"/>
      <c r="G2" s="85"/>
    </row>
    <row r="3" spans="1:11" ht="19.5" thickBot="1" x14ac:dyDescent="0.35">
      <c r="A3" s="15"/>
      <c r="B3" s="145"/>
      <c r="C3" s="146"/>
      <c r="D3" s="18"/>
      <c r="E3" s="85"/>
      <c r="F3" s="85"/>
      <c r="G3" s="85"/>
    </row>
    <row r="4" spans="1:11" s="2" customFormat="1" ht="34.5" customHeight="1" x14ac:dyDescent="0.25">
      <c r="A4" s="905" t="s">
        <v>47</v>
      </c>
      <c r="B4" s="905"/>
      <c r="C4" s="905"/>
      <c r="D4" s="62" t="s">
        <v>39</v>
      </c>
      <c r="E4" s="153" t="s">
        <v>365</v>
      </c>
      <c r="F4" s="153" t="s">
        <v>393</v>
      </c>
      <c r="G4" s="198" t="s">
        <v>393</v>
      </c>
      <c r="H4" s="208" t="s">
        <v>470</v>
      </c>
      <c r="I4" s="205" t="s">
        <v>471</v>
      </c>
      <c r="J4" s="221" t="s">
        <v>472</v>
      </c>
      <c r="K4" s="218" t="s">
        <v>473</v>
      </c>
    </row>
    <row r="5" spans="1:11" s="11" customFormat="1" x14ac:dyDescent="0.25">
      <c r="A5" s="53"/>
      <c r="B5" s="53"/>
      <c r="C5" s="55"/>
      <c r="D5" s="55"/>
      <c r="E5" s="91"/>
      <c r="F5" s="91"/>
      <c r="G5" s="176"/>
      <c r="H5" s="210"/>
      <c r="I5" s="210"/>
      <c r="J5" s="222"/>
      <c r="K5" s="222"/>
    </row>
    <row r="6" spans="1:11" s="11" customFormat="1" x14ac:dyDescent="0.25">
      <c r="A6" s="53"/>
      <c r="B6" s="53"/>
      <c r="C6" s="55"/>
      <c r="D6" s="55"/>
      <c r="E6" s="91"/>
      <c r="F6" s="91"/>
      <c r="G6" s="176"/>
      <c r="H6" s="210"/>
      <c r="I6" s="210"/>
      <c r="J6" s="222"/>
      <c r="K6" s="222"/>
    </row>
    <row r="7" spans="1:11" s="11" customFormat="1" x14ac:dyDescent="0.25">
      <c r="A7" s="197" t="s">
        <v>438</v>
      </c>
      <c r="B7" s="53"/>
      <c r="C7" s="90">
        <v>0</v>
      </c>
      <c r="D7" s="55"/>
      <c r="E7" s="91"/>
      <c r="F7" s="91"/>
      <c r="G7" s="176"/>
      <c r="H7" s="210"/>
      <c r="I7" s="210"/>
      <c r="J7" s="222"/>
      <c r="K7" s="222"/>
    </row>
    <row r="8" spans="1:11" s="11" customFormat="1" x14ac:dyDescent="0.25">
      <c r="A8" s="197" t="s">
        <v>438</v>
      </c>
      <c r="B8" s="53"/>
      <c r="C8" s="90">
        <v>0</v>
      </c>
      <c r="D8" s="55"/>
      <c r="E8" s="91"/>
      <c r="F8" s="91">
        <v>0</v>
      </c>
      <c r="G8" s="176"/>
      <c r="H8" s="210"/>
      <c r="I8" s="210"/>
      <c r="J8" s="222"/>
      <c r="K8" s="222"/>
    </row>
    <row r="9" spans="1:11" s="11" customFormat="1" x14ac:dyDescent="0.25">
      <c r="A9" s="197" t="s">
        <v>438</v>
      </c>
      <c r="B9" s="53"/>
      <c r="C9" s="90">
        <v>0</v>
      </c>
      <c r="D9" s="55"/>
      <c r="E9" s="91"/>
      <c r="F9" s="91">
        <v>0</v>
      </c>
      <c r="G9" s="176"/>
      <c r="H9" s="210"/>
      <c r="I9" s="210"/>
      <c r="J9" s="222"/>
      <c r="K9" s="222"/>
    </row>
    <row r="10" spans="1:11" s="11" customFormat="1" x14ac:dyDescent="0.25">
      <c r="A10" s="197" t="s">
        <v>438</v>
      </c>
      <c r="B10" s="53"/>
      <c r="C10" s="90">
        <v>0</v>
      </c>
      <c r="D10" s="55"/>
      <c r="E10" s="91"/>
      <c r="F10" s="91">
        <v>0</v>
      </c>
      <c r="G10" s="176"/>
      <c r="H10" s="210"/>
      <c r="I10" s="210"/>
      <c r="J10" s="222"/>
      <c r="K10" s="222"/>
    </row>
    <row r="11" spans="1:11" s="11" customFormat="1" x14ac:dyDescent="0.25">
      <c r="A11" s="197" t="s">
        <v>438</v>
      </c>
      <c r="B11" s="53"/>
      <c r="C11" s="90">
        <v>0</v>
      </c>
      <c r="D11" s="55"/>
      <c r="E11" s="91"/>
      <c r="F11" s="91"/>
      <c r="G11" s="176"/>
      <c r="H11" s="210"/>
      <c r="I11" s="210"/>
      <c r="J11" s="222"/>
      <c r="K11" s="222"/>
    </row>
    <row r="12" spans="1:11" s="11" customFormat="1" x14ac:dyDescent="0.25">
      <c r="A12" s="197" t="s">
        <v>438</v>
      </c>
      <c r="B12" s="53"/>
      <c r="C12" s="90">
        <v>0</v>
      </c>
      <c r="D12" s="55"/>
      <c r="E12" s="91"/>
      <c r="F12" s="91"/>
      <c r="G12" s="176"/>
      <c r="H12" s="210"/>
      <c r="I12" s="210"/>
      <c r="J12" s="222"/>
      <c r="K12" s="222"/>
    </row>
    <row r="13" spans="1:11" s="11" customFormat="1" x14ac:dyDescent="0.25">
      <c r="A13" s="197" t="s">
        <v>438</v>
      </c>
      <c r="B13" s="53"/>
      <c r="C13" s="90">
        <v>0</v>
      </c>
      <c r="D13" s="55"/>
      <c r="E13" s="91"/>
      <c r="F13" s="91"/>
      <c r="G13" s="176"/>
      <c r="H13" s="210"/>
      <c r="I13" s="210"/>
      <c r="J13" s="222"/>
      <c r="K13" s="222"/>
    </row>
    <row r="14" spans="1:11" s="33" customFormat="1" ht="17.25" customHeight="1" x14ac:dyDescent="0.25">
      <c r="A14" s="143" t="s">
        <v>419</v>
      </c>
      <c r="B14" s="143"/>
      <c r="C14" s="144"/>
      <c r="D14" s="60"/>
      <c r="E14" s="44">
        <f>SUM(E5:E13)</f>
        <v>0</v>
      </c>
      <c r="F14" s="44">
        <f>SUM(F5:F13)</f>
        <v>0</v>
      </c>
      <c r="G14" s="178">
        <f>SUM(G5:G13)</f>
        <v>0</v>
      </c>
      <c r="H14" s="69"/>
      <c r="I14" s="69"/>
      <c r="J14" s="223"/>
      <c r="K14" s="223"/>
    </row>
    <row r="15" spans="1:11" s="32" customFormat="1" x14ac:dyDescent="0.25">
      <c r="A15" s="60" t="s">
        <v>44</v>
      </c>
      <c r="B15" s="60"/>
      <c r="C15" s="60"/>
      <c r="D15" s="60"/>
      <c r="E15" s="44">
        <f>E14</f>
        <v>0</v>
      </c>
      <c r="F15" s="44">
        <f>F14</f>
        <v>0</v>
      </c>
      <c r="G15" s="178">
        <f>G14</f>
        <v>0</v>
      </c>
      <c r="H15" s="58"/>
      <c r="I15" s="58"/>
      <c r="J15" s="224"/>
      <c r="K15" s="224"/>
    </row>
  </sheetData>
  <mergeCells count="1">
    <mergeCell ref="A4:C4"/>
  </mergeCells>
  <phoneticPr fontId="8" type="noConversion"/>
  <pageMargins left="0.74803149606299213" right="0.74803149606299213" top="0.98425196850393704" bottom="0.98425196850393704" header="0.51181102362204722" footer="0.51181102362204722"/>
  <pageSetup scale="90" orientation="landscape" horizontalDpi="300" verticalDpi="300" r:id="rId1"/>
  <headerFooter alignWithMargins="0">
    <oddFooter>&amp;A&amp;RPage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3:G27"/>
  <sheetViews>
    <sheetView workbookViewId="0">
      <selection activeCell="C11" sqref="C11"/>
    </sheetView>
  </sheetViews>
  <sheetFormatPr defaultColWidth="8.85546875" defaultRowHeight="15" x14ac:dyDescent="0.25"/>
  <cols>
    <col min="2" max="3" width="21.7109375" customWidth="1"/>
    <col min="4" max="4" width="17.28515625" customWidth="1"/>
    <col min="5" max="5" width="17.7109375" customWidth="1"/>
  </cols>
  <sheetData>
    <row r="3" spans="2:7" ht="18.75" x14ac:dyDescent="0.3">
      <c r="B3" s="20" t="s">
        <v>140</v>
      </c>
      <c r="C3" s="20"/>
    </row>
    <row r="5" spans="2:7" x14ac:dyDescent="0.25">
      <c r="B5" s="21" t="s">
        <v>141</v>
      </c>
      <c r="C5" s="906" t="s">
        <v>142</v>
      </c>
      <c r="D5" s="907"/>
      <c r="E5" s="21" t="s">
        <v>143</v>
      </c>
    </row>
    <row r="6" spans="2:7" x14ac:dyDescent="0.25">
      <c r="B6" s="21"/>
      <c r="C6" s="34">
        <v>0.1</v>
      </c>
      <c r="D6" s="34">
        <v>0.35</v>
      </c>
      <c r="E6" s="21"/>
    </row>
    <row r="7" spans="2:7" x14ac:dyDescent="0.25">
      <c r="B7" s="1" t="s">
        <v>144</v>
      </c>
      <c r="C7" s="22">
        <v>14456706</v>
      </c>
      <c r="D7" s="22">
        <v>14456706</v>
      </c>
      <c r="E7" s="22">
        <v>49294881</v>
      </c>
      <c r="F7" t="s">
        <v>145</v>
      </c>
    </row>
    <row r="8" spans="2:7" x14ac:dyDescent="0.25">
      <c r="B8" s="1" t="s">
        <v>146</v>
      </c>
      <c r="C8" s="22">
        <v>9339822</v>
      </c>
      <c r="D8" s="22">
        <v>9339822</v>
      </c>
      <c r="E8" s="22">
        <v>2692931</v>
      </c>
    </row>
    <row r="9" spans="2:7" x14ac:dyDescent="0.25">
      <c r="B9" s="1" t="s">
        <v>147</v>
      </c>
      <c r="C9" s="22">
        <v>4797134</v>
      </c>
      <c r="D9" s="22">
        <v>4797134</v>
      </c>
      <c r="E9" s="22">
        <v>10799934</v>
      </c>
    </row>
    <row r="10" spans="2:7" x14ac:dyDescent="0.25">
      <c r="B10" s="1" t="s">
        <v>148</v>
      </c>
      <c r="C10" s="22">
        <f>819614+33692758</f>
        <v>34512372</v>
      </c>
      <c r="D10" s="22">
        <f>819614+33692758</f>
        <v>34512372</v>
      </c>
      <c r="E10" s="22">
        <f>29246534+6094451</f>
        <v>35340985</v>
      </c>
      <c r="G10" s="23" t="s">
        <v>149</v>
      </c>
    </row>
    <row r="11" spans="2:7" x14ac:dyDescent="0.25">
      <c r="B11" s="1" t="s">
        <v>150</v>
      </c>
      <c r="C11" s="22">
        <v>2193543</v>
      </c>
      <c r="D11" s="22">
        <v>2193543</v>
      </c>
      <c r="E11" s="24">
        <v>4725503</v>
      </c>
      <c r="F11" t="s">
        <v>151</v>
      </c>
    </row>
    <row r="12" spans="2:7" x14ac:dyDescent="0.25">
      <c r="B12" s="1"/>
      <c r="C12" s="1"/>
      <c r="D12" s="22"/>
      <c r="E12" s="22"/>
    </row>
    <row r="13" spans="2:7" x14ac:dyDescent="0.25">
      <c r="B13" s="1"/>
      <c r="C13" s="25">
        <f>SUM(C7:C12)</f>
        <v>65299577</v>
      </c>
      <c r="D13" s="25">
        <f>SUM(D7:D12)</f>
        <v>65299577</v>
      </c>
      <c r="E13" s="25">
        <f>SUM(E7:E12)</f>
        <v>102854234</v>
      </c>
    </row>
    <row r="14" spans="2:7" x14ac:dyDescent="0.25">
      <c r="C14" s="26">
        <f>D13*10%</f>
        <v>6529957.7000000002</v>
      </c>
      <c r="D14" s="26">
        <f>D13*35%</f>
        <v>22854851.949999999</v>
      </c>
    </row>
    <row r="16" spans="2:7" ht="18.75" x14ac:dyDescent="0.3">
      <c r="B16" s="20" t="s">
        <v>152</v>
      </c>
      <c r="C16" s="20"/>
    </row>
    <row r="18" spans="2:6" x14ac:dyDescent="0.25">
      <c r="B18" s="21" t="s">
        <v>141</v>
      </c>
      <c r="C18" s="906" t="s">
        <v>142</v>
      </c>
      <c r="D18" s="907"/>
      <c r="E18" s="21" t="s">
        <v>143</v>
      </c>
    </row>
    <row r="19" spans="2:6" x14ac:dyDescent="0.25">
      <c r="B19" s="21"/>
      <c r="C19" s="34">
        <v>0.1</v>
      </c>
      <c r="D19" s="34">
        <v>0.35</v>
      </c>
      <c r="E19" s="21"/>
    </row>
    <row r="20" spans="2:6" x14ac:dyDescent="0.25">
      <c r="B20" s="1" t="s">
        <v>144</v>
      </c>
      <c r="C20" s="22">
        <v>15815138</v>
      </c>
      <c r="D20" s="22">
        <v>15815138</v>
      </c>
      <c r="E20" s="22">
        <v>4271776</v>
      </c>
      <c r="F20" t="s">
        <v>145</v>
      </c>
    </row>
    <row r="21" spans="2:6" x14ac:dyDescent="0.25">
      <c r="B21" s="1" t="s">
        <v>146</v>
      </c>
      <c r="C21" s="22">
        <v>1438921</v>
      </c>
      <c r="D21" s="22">
        <v>1438921</v>
      </c>
      <c r="E21" s="22">
        <v>1664678</v>
      </c>
    </row>
    <row r="22" spans="2:6" x14ac:dyDescent="0.25">
      <c r="B22" s="1" t="s">
        <v>147</v>
      </c>
      <c r="C22" s="22">
        <v>1187089</v>
      </c>
      <c r="D22" s="22">
        <v>1187089</v>
      </c>
      <c r="E22" s="22">
        <v>516779</v>
      </c>
    </row>
    <row r="23" spans="2:6" x14ac:dyDescent="0.25">
      <c r="B23" s="1" t="s">
        <v>148</v>
      </c>
      <c r="C23" s="22">
        <v>4292647</v>
      </c>
      <c r="D23" s="22">
        <v>4292647</v>
      </c>
      <c r="E23" s="22">
        <v>4185307</v>
      </c>
    </row>
    <row r="24" spans="2:6" x14ac:dyDescent="0.25">
      <c r="B24" s="1" t="s">
        <v>150</v>
      </c>
      <c r="C24" s="22">
        <v>214674</v>
      </c>
      <c r="D24" s="22">
        <v>214674</v>
      </c>
      <c r="E24" s="27"/>
      <c r="F24" s="28" t="s">
        <v>153</v>
      </c>
    </row>
    <row r="25" spans="2:6" x14ac:dyDescent="0.25">
      <c r="B25" s="1"/>
      <c r="C25" s="22"/>
      <c r="D25" s="22"/>
      <c r="E25" s="22"/>
    </row>
    <row r="26" spans="2:6" x14ac:dyDescent="0.25">
      <c r="B26" s="1"/>
      <c r="C26" s="25">
        <f>SUM(C20:C25)</f>
        <v>22948469</v>
      </c>
      <c r="D26" s="25">
        <f>SUM(D20:D25)</f>
        <v>22948469</v>
      </c>
      <c r="E26" s="25">
        <f>SUM(E20:E25)</f>
        <v>10638540</v>
      </c>
    </row>
    <row r="27" spans="2:6" x14ac:dyDescent="0.25">
      <c r="C27" s="35">
        <f>C26*C19</f>
        <v>2294846.9</v>
      </c>
      <c r="D27" s="10">
        <f>D26*D19</f>
        <v>8031964.1499999994</v>
      </c>
    </row>
  </sheetData>
  <mergeCells count="2">
    <mergeCell ref="C18:D18"/>
    <mergeCell ref="C5:D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2:A8"/>
  <sheetViews>
    <sheetView workbookViewId="0">
      <selection activeCell="A13" sqref="A13"/>
    </sheetView>
  </sheetViews>
  <sheetFormatPr defaultColWidth="8.85546875" defaultRowHeight="15" x14ac:dyDescent="0.25"/>
  <sheetData>
    <row r="2" spans="1:1" x14ac:dyDescent="0.25">
      <c r="A2" t="s">
        <v>119</v>
      </c>
    </row>
    <row r="4" spans="1:1" x14ac:dyDescent="0.25">
      <c r="A4" t="s">
        <v>117</v>
      </c>
    </row>
    <row r="6" spans="1:1" x14ac:dyDescent="0.25">
      <c r="A6" t="s">
        <v>120</v>
      </c>
    </row>
    <row r="8" spans="1:1" x14ac:dyDescent="0.25">
      <c r="A8" t="s">
        <v>118</v>
      </c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I26"/>
  <sheetViews>
    <sheetView view="pageBreakPreview" zoomScale="60" zoomScaleNormal="100" workbookViewId="0">
      <selection activeCell="G3" sqref="G3"/>
    </sheetView>
  </sheetViews>
  <sheetFormatPr defaultColWidth="9.28515625" defaultRowHeight="15" x14ac:dyDescent="0.25"/>
  <cols>
    <col min="1" max="1" width="27.42578125" style="19" customWidth="1"/>
    <col min="2" max="2" width="14" style="63" hidden="1" customWidth="1"/>
    <col min="3" max="7" width="13.42578125" style="63" customWidth="1"/>
    <col min="8" max="8" width="14.42578125" style="63" customWidth="1"/>
    <col min="9" max="9" width="13.7109375" style="377" customWidth="1"/>
    <col min="10" max="16384" width="9.28515625" style="19"/>
  </cols>
  <sheetData>
    <row r="1" spans="1:9" s="18" customFormat="1" ht="18.75" x14ac:dyDescent="0.3">
      <c r="A1" s="15" t="s">
        <v>530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8" customHeight="1" thickBot="1" x14ac:dyDescent="0.3">
      <c r="A3" s="394" t="s">
        <v>39</v>
      </c>
      <c r="B3" s="238" t="s">
        <v>393</v>
      </c>
      <c r="C3" s="429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1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1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1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1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1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2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1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1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1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1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1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1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2"/>
    </row>
    <row r="17" spans="1:9" s="134" customFormat="1" x14ac:dyDescent="0.25">
      <c r="A17" s="60"/>
      <c r="B17" s="44"/>
      <c r="C17" s="178"/>
      <c r="D17" s="178"/>
      <c r="E17" s="178"/>
      <c r="F17" s="178"/>
      <c r="G17" s="178"/>
      <c r="H17" s="44"/>
      <c r="I17" s="432"/>
    </row>
    <row r="18" spans="1:9" s="18" customFormat="1" x14ac:dyDescent="0.25">
      <c r="A18" s="50" t="s">
        <v>316</v>
      </c>
      <c r="B18" s="165">
        <v>120000</v>
      </c>
      <c r="C18" s="177">
        <f>B18+(B18*6.25%)</f>
        <v>127500</v>
      </c>
      <c r="D18" s="177"/>
      <c r="E18" s="177">
        <f>C18-D18</f>
        <v>127500</v>
      </c>
      <c r="F18" s="239">
        <v>0</v>
      </c>
      <c r="G18" s="177">
        <f>C18+F18</f>
        <v>127500</v>
      </c>
      <c r="H18" s="177">
        <f>C18+(C18*6.25%)</f>
        <v>135468.75</v>
      </c>
      <c r="I18" s="397">
        <f>H18+(H18*6.25%)</f>
        <v>143935.546875</v>
      </c>
    </row>
    <row r="19" spans="1:9" s="134" customFormat="1" x14ac:dyDescent="0.25">
      <c r="A19" s="342" t="s">
        <v>43</v>
      </c>
      <c r="B19" s="44">
        <f>SUM(B18)</f>
        <v>120000</v>
      </c>
      <c r="C19" s="178">
        <f>SUM(C18)</f>
        <v>127500</v>
      </c>
      <c r="D19" s="178">
        <f t="shared" ref="D19:E19" si="0">SUM(D18)</f>
        <v>0</v>
      </c>
      <c r="E19" s="178">
        <f t="shared" si="0"/>
        <v>127500</v>
      </c>
      <c r="F19" s="178">
        <f t="shared" ref="F19:G19" si="1">SUM(F18)</f>
        <v>0</v>
      </c>
      <c r="G19" s="178">
        <f t="shared" si="1"/>
        <v>127500</v>
      </c>
      <c r="H19" s="178">
        <f>SUM(H18)</f>
        <v>135468.75</v>
      </c>
      <c r="I19" s="400">
        <f>SUM(I18)</f>
        <v>143935.546875</v>
      </c>
    </row>
    <row r="20" spans="1:9" s="18" customFormat="1" hidden="1" x14ac:dyDescent="0.25">
      <c r="A20" s="398"/>
      <c r="B20" s="51"/>
      <c r="C20" s="177"/>
      <c r="D20" s="177"/>
      <c r="E20" s="177"/>
      <c r="F20" s="177"/>
      <c r="G20" s="177"/>
      <c r="H20" s="51"/>
      <c r="I20" s="397">
        <f>H20+(H20*5.4%)</f>
        <v>0</v>
      </c>
    </row>
    <row r="21" spans="1:9" s="18" customFormat="1" hidden="1" x14ac:dyDescent="0.25">
      <c r="A21" s="341">
        <v>125</v>
      </c>
      <c r="B21" s="165"/>
      <c r="C21" s="214">
        <f>B21*6.2%+B21</f>
        <v>0</v>
      </c>
      <c r="D21" s="214"/>
      <c r="E21" s="214"/>
      <c r="F21" s="214"/>
      <c r="G21" s="214"/>
      <c r="H21" s="165">
        <f>C21*5.9%+C21</f>
        <v>0</v>
      </c>
      <c r="I21" s="397">
        <f>H21+(H21*5.4%)</f>
        <v>0</v>
      </c>
    </row>
    <row r="22" spans="1:9" s="18" customFormat="1" hidden="1" x14ac:dyDescent="0.25">
      <c r="A22" s="341">
        <v>125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397">
        <f>H22+(H22*5.4%)</f>
        <v>0</v>
      </c>
    </row>
    <row r="23" spans="1:9" s="92" customFormat="1" hidden="1" x14ac:dyDescent="0.25">
      <c r="A23" s="396"/>
      <c r="B23" s="165">
        <v>0</v>
      </c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397">
        <f>H23+(H23*5.4%)</f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178">
        <f>SUM(C21:C23)</f>
        <v>0</v>
      </c>
      <c r="D24" s="178"/>
      <c r="E24" s="178"/>
      <c r="F24" s="178"/>
      <c r="G24" s="178"/>
      <c r="H24" s="44">
        <f>SUM(H21:H23)</f>
        <v>0</v>
      </c>
      <c r="I24" s="397">
        <f>H24+(H24*5.4%)</f>
        <v>0</v>
      </c>
    </row>
    <row r="25" spans="1:9" s="134" customFormat="1" x14ac:dyDescent="0.25">
      <c r="A25" s="343"/>
      <c r="B25" s="44"/>
      <c r="C25" s="178"/>
      <c r="D25" s="178"/>
      <c r="E25" s="178"/>
      <c r="F25" s="178"/>
      <c r="G25" s="178"/>
      <c r="H25" s="44"/>
      <c r="I25" s="397"/>
    </row>
    <row r="26" spans="1:9" ht="15.75" thickBot="1" x14ac:dyDescent="0.3">
      <c r="A26" s="390" t="s">
        <v>48</v>
      </c>
      <c r="B26" s="391">
        <f>B9+B16+B19+B24</f>
        <v>120000</v>
      </c>
      <c r="C26" s="403">
        <f>C9+C16+C19+C24</f>
        <v>127500</v>
      </c>
      <c r="D26" s="403">
        <f t="shared" ref="D26:E26" si="2">D9+D16+D19+D24</f>
        <v>0</v>
      </c>
      <c r="E26" s="403">
        <f t="shared" si="2"/>
        <v>127500</v>
      </c>
      <c r="F26" s="403">
        <f t="shared" ref="F26:G26" si="3">F9+F16+F19+F24</f>
        <v>0</v>
      </c>
      <c r="G26" s="403">
        <f t="shared" si="3"/>
        <v>127500</v>
      </c>
      <c r="H26" s="403">
        <f>H9+H16+H19+H24</f>
        <v>135468.75</v>
      </c>
      <c r="I26" s="401">
        <f>I9+I16+I19+I24</f>
        <v>143935.546875</v>
      </c>
    </row>
  </sheetData>
  <pageMargins left="0.70866141732283472" right="0.70866141732283472" top="0.74803149606299213" bottom="0.74803149606299213" header="0.31496062992125984" footer="0.31496062992125984"/>
  <pageSetup scale="99" orientation="landscape" r:id="rId1"/>
  <headerFooter>
    <oddFooter>&amp;A&amp;RPage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I22"/>
  <sheetViews>
    <sheetView view="pageBreakPreview" zoomScale="60" zoomScaleNormal="100" workbookViewId="0">
      <selection activeCell="F19" sqref="F19"/>
    </sheetView>
  </sheetViews>
  <sheetFormatPr defaultColWidth="9.28515625" defaultRowHeight="15" x14ac:dyDescent="0.25"/>
  <cols>
    <col min="1" max="1" width="25.28515625" style="19" customWidth="1"/>
    <col min="2" max="2" width="14.42578125" style="63" hidden="1" customWidth="1"/>
    <col min="3" max="7" width="13.28515625" style="63" customWidth="1"/>
    <col min="8" max="8" width="12.7109375" style="63" customWidth="1"/>
    <col min="9" max="9" width="15.85546875" style="377" customWidth="1"/>
    <col min="10" max="16384" width="9.28515625" style="19"/>
  </cols>
  <sheetData>
    <row r="1" spans="1:9" s="18" customFormat="1" ht="18.75" x14ac:dyDescent="0.3">
      <c r="A1" s="15" t="s">
        <v>531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37.5" customHeight="1" thickBot="1" x14ac:dyDescent="0.3">
      <c r="A3" s="394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3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3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3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3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3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4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3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3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3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3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3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3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4"/>
    </row>
    <row r="17" spans="1:9" x14ac:dyDescent="0.25">
      <c r="A17" s="60"/>
      <c r="B17" s="44"/>
      <c r="C17" s="44"/>
      <c r="D17" s="44"/>
      <c r="E17" s="44"/>
      <c r="F17" s="44"/>
      <c r="G17" s="44"/>
      <c r="H17" s="44"/>
      <c r="I17" s="431"/>
    </row>
    <row r="18" spans="1:9" s="18" customFormat="1" x14ac:dyDescent="0.25">
      <c r="A18" s="50" t="s">
        <v>316</v>
      </c>
      <c r="B18" s="165">
        <v>100000</v>
      </c>
      <c r="C18" s="177">
        <f>B18+(B18*6.25%)</f>
        <v>106250</v>
      </c>
      <c r="D18" s="177"/>
      <c r="E18" s="177">
        <f>C18-D18</f>
        <v>106250</v>
      </c>
      <c r="F18" s="177">
        <v>-106250</v>
      </c>
      <c r="G18" s="177">
        <f>C18+F18</f>
        <v>0</v>
      </c>
      <c r="H18" s="177">
        <f>C18+(C18*6.25%)</f>
        <v>112890.625</v>
      </c>
      <c r="I18" s="397">
        <f>H18+(H18*6.25%)</f>
        <v>119946.2890625</v>
      </c>
    </row>
    <row r="19" spans="1:9" s="18" customFormat="1" x14ac:dyDescent="0.25">
      <c r="A19" s="50"/>
      <c r="B19" s="51"/>
      <c r="C19" s="165"/>
      <c r="D19" s="165"/>
      <c r="E19" s="165"/>
      <c r="F19" s="165"/>
      <c r="G19" s="165"/>
      <c r="H19" s="165"/>
      <c r="I19" s="397">
        <f>H19+(H19*5.4%)</f>
        <v>0</v>
      </c>
    </row>
    <row r="20" spans="1:9" s="134" customFormat="1" x14ac:dyDescent="0.25">
      <c r="A20" s="342" t="s">
        <v>43</v>
      </c>
      <c r="B20" s="44">
        <f>SUM(B18:B19)</f>
        <v>100000</v>
      </c>
      <c r="C20" s="44">
        <f>SUM(C18:C19)</f>
        <v>106250</v>
      </c>
      <c r="D20" s="44">
        <f t="shared" ref="D20:E20" si="0">SUM(D18:D19)</f>
        <v>0</v>
      </c>
      <c r="E20" s="44">
        <f t="shared" si="0"/>
        <v>106250</v>
      </c>
      <c r="F20" s="44">
        <f t="shared" ref="F20:G20" si="1">SUM(F18:F19)</f>
        <v>-106250</v>
      </c>
      <c r="G20" s="44">
        <f t="shared" si="1"/>
        <v>0</v>
      </c>
      <c r="H20" s="44">
        <f>SUM(H18:H19)</f>
        <v>112890.625</v>
      </c>
      <c r="I20" s="400">
        <f>SUM(I18:I19)</f>
        <v>119946.2890625</v>
      </c>
    </row>
    <row r="21" spans="1:9" s="18" customFormat="1" x14ac:dyDescent="0.25">
      <c r="A21" s="398"/>
      <c r="B21" s="51"/>
      <c r="C21" s="51"/>
      <c r="D21" s="51"/>
      <c r="E21" s="51"/>
      <c r="F21" s="51"/>
      <c r="G21" s="51"/>
      <c r="H21" s="51"/>
      <c r="I21" s="400">
        <f>H21+(H21*5.4%)</f>
        <v>0</v>
      </c>
    </row>
    <row r="22" spans="1:9" ht="15.75" thickBot="1" x14ac:dyDescent="0.3">
      <c r="A22" s="390" t="s">
        <v>48</v>
      </c>
      <c r="B22" s="391">
        <f>B9+B16+B20</f>
        <v>100000</v>
      </c>
      <c r="C22" s="391">
        <f>C9+C16+C20</f>
        <v>106250</v>
      </c>
      <c r="D22" s="391">
        <f t="shared" ref="D22:E22" si="2">D9+D16+D20</f>
        <v>0</v>
      </c>
      <c r="E22" s="391">
        <f t="shared" si="2"/>
        <v>106250</v>
      </c>
      <c r="F22" s="391">
        <f t="shared" ref="F22:G22" si="3">F9+F16+F20</f>
        <v>-106250</v>
      </c>
      <c r="G22" s="391">
        <f t="shared" si="3"/>
        <v>0</v>
      </c>
      <c r="H22" s="391">
        <f>H9+H16+H20</f>
        <v>112890.625</v>
      </c>
      <c r="I22" s="401">
        <f>I9+I16+I20</f>
        <v>119946.2890625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91"/>
  <sheetViews>
    <sheetView view="pageBreakPreview" zoomScale="98" zoomScaleNormal="98" zoomScaleSheetLayoutView="98" zoomScalePageLayoutView="70" workbookViewId="0">
      <pane xSplit="1" ySplit="2" topLeftCell="D75" activePane="bottomRight" state="frozen"/>
      <selection pane="topRight" activeCell="B1" sqref="B1"/>
      <selection pane="bottomLeft" activeCell="A3" sqref="A3"/>
      <selection pane="bottomRight" activeCell="F64" sqref="F64"/>
    </sheetView>
  </sheetViews>
  <sheetFormatPr defaultColWidth="8.85546875" defaultRowHeight="15.75" x14ac:dyDescent="0.25"/>
  <cols>
    <col min="1" max="1" width="26.7109375" style="512" customWidth="1"/>
    <col min="2" max="2" width="17.28515625" style="512" customWidth="1"/>
    <col min="3" max="3" width="18.42578125" style="512" customWidth="1"/>
    <col min="4" max="4" width="20.28515625" style="512" customWidth="1"/>
    <col min="5" max="5" width="15.28515625" style="512" customWidth="1"/>
    <col min="6" max="6" width="18.140625" style="512" customWidth="1"/>
    <col min="7" max="7" width="14.7109375" style="512" customWidth="1"/>
    <col min="8" max="8" width="15.7109375" style="512" customWidth="1"/>
    <col min="9" max="9" width="15.42578125" style="512" customWidth="1"/>
    <col min="10" max="10" width="15" style="512" customWidth="1"/>
    <col min="11" max="11" width="16" style="512" customWidth="1"/>
    <col min="12" max="12" width="17.85546875" style="512" customWidth="1"/>
    <col min="13" max="13" width="17.28515625" style="512" customWidth="1"/>
    <col min="14" max="14" width="18.140625" style="512" customWidth="1"/>
    <col min="15" max="15" width="24.28515625" style="599" hidden="1" customWidth="1"/>
  </cols>
  <sheetData>
    <row r="1" spans="1:15" s="5" customFormat="1" ht="27" thickBot="1" x14ac:dyDescent="0.45">
      <c r="A1" s="904" t="s">
        <v>114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598"/>
    </row>
    <row r="2" spans="1:15" s="325" customFormat="1" ht="48.75" customHeight="1" thickBot="1" x14ac:dyDescent="0.3">
      <c r="A2" s="591" t="s">
        <v>89</v>
      </c>
      <c r="B2" s="592" t="s">
        <v>40</v>
      </c>
      <c r="C2" s="593" t="s">
        <v>41</v>
      </c>
      <c r="D2" s="594" t="s">
        <v>211</v>
      </c>
      <c r="E2" s="594" t="s">
        <v>244</v>
      </c>
      <c r="F2" s="595" t="s">
        <v>43</v>
      </c>
      <c r="G2" s="595" t="s">
        <v>69</v>
      </c>
      <c r="H2" s="595" t="s">
        <v>170</v>
      </c>
      <c r="I2" s="595" t="s">
        <v>42</v>
      </c>
      <c r="J2" s="595" t="s">
        <v>88</v>
      </c>
      <c r="K2" s="596" t="s">
        <v>45</v>
      </c>
      <c r="L2" s="597" t="s">
        <v>442</v>
      </c>
      <c r="M2" s="597" t="s">
        <v>556</v>
      </c>
      <c r="N2" s="597" t="s">
        <v>644</v>
      </c>
      <c r="O2" s="599"/>
    </row>
    <row r="3" spans="1:15" x14ac:dyDescent="0.25">
      <c r="A3" s="485"/>
      <c r="B3" s="486"/>
      <c r="C3" s="486"/>
      <c r="D3" s="486"/>
      <c r="E3" s="486"/>
      <c r="F3" s="487"/>
      <c r="G3" s="487"/>
      <c r="H3" s="487"/>
      <c r="I3" s="486"/>
      <c r="J3" s="488"/>
      <c r="K3" s="488"/>
      <c r="L3" s="486"/>
      <c r="M3" s="486"/>
      <c r="N3" s="489"/>
    </row>
    <row r="4" spans="1:15" s="471" customFormat="1" x14ac:dyDescent="0.25">
      <c r="A4" s="490" t="s">
        <v>90</v>
      </c>
      <c r="B4" s="491">
        <f>COUNCIL!G10</f>
        <v>14233357.3125</v>
      </c>
      <c r="C4" s="491">
        <v>0</v>
      </c>
      <c r="D4" s="491">
        <f>COUNCIL!G13</f>
        <v>318282.5</v>
      </c>
      <c r="E4" s="491">
        <v>0</v>
      </c>
      <c r="F4" s="491">
        <v>0</v>
      </c>
      <c r="G4" s="491">
        <v>0</v>
      </c>
      <c r="H4" s="491">
        <v>0</v>
      </c>
      <c r="I4" s="491">
        <f>COUNCIL!G22</f>
        <v>5044780.96875</v>
      </c>
      <c r="J4" s="491">
        <v>0</v>
      </c>
      <c r="K4" s="491">
        <v>0</v>
      </c>
      <c r="L4" s="491">
        <f t="shared" ref="L4:L67" si="0">SUM(B4:K4)</f>
        <v>19596420.78125</v>
      </c>
      <c r="M4" s="491">
        <f>COUNCIL!H24</f>
        <v>21052447.080078125</v>
      </c>
      <c r="N4" s="492">
        <f>COUNCIL!I24</f>
        <v>22721350.022583008</v>
      </c>
      <c r="O4" s="600"/>
    </row>
    <row r="5" spans="1:15" s="76" customFormat="1" x14ac:dyDescent="0.25">
      <c r="A5" s="494" t="s">
        <v>91</v>
      </c>
      <c r="B5" s="495">
        <f>MM!G14</f>
        <v>3605952.3125</v>
      </c>
      <c r="C5" s="495">
        <f>MM!G25</f>
        <v>530555.75</v>
      </c>
      <c r="D5" s="495">
        <f>MM!G28</f>
        <v>126612.2</v>
      </c>
      <c r="E5" s="491">
        <v>0</v>
      </c>
      <c r="F5" s="495">
        <v>0</v>
      </c>
      <c r="G5" s="495">
        <f>MM!G30+MM!G31</f>
        <v>35500000</v>
      </c>
      <c r="H5" s="495">
        <v>0</v>
      </c>
      <c r="I5" s="495">
        <f>MM!G42</f>
        <v>1431165</v>
      </c>
      <c r="J5" s="495">
        <v>0</v>
      </c>
      <c r="K5" s="495">
        <v>0</v>
      </c>
      <c r="L5" s="491">
        <f t="shared" si="0"/>
        <v>41194285.262500003</v>
      </c>
      <c r="M5" s="495">
        <f>MM!H44</f>
        <v>42061351.37890625</v>
      </c>
      <c r="N5" s="496">
        <f>MM!I44</f>
        <v>46745931.743987888</v>
      </c>
      <c r="O5" s="599"/>
    </row>
    <row r="6" spans="1:15" x14ac:dyDescent="0.25">
      <c r="A6" s="494" t="s">
        <v>92</v>
      </c>
      <c r="B6" s="495">
        <f>IA!F9</f>
        <v>5091570.125</v>
      </c>
      <c r="C6" s="495">
        <f>IA!F16</f>
        <v>975873.125</v>
      </c>
      <c r="D6" s="495">
        <f>IA!F20</f>
        <v>97791.1</v>
      </c>
      <c r="E6" s="491">
        <v>0</v>
      </c>
      <c r="F6" s="495">
        <v>0</v>
      </c>
      <c r="G6" s="495">
        <v>0</v>
      </c>
      <c r="H6" s="495">
        <v>0</v>
      </c>
      <c r="I6" s="495">
        <f>IA!F29</f>
        <v>3259978.9375</v>
      </c>
      <c r="J6" s="495">
        <v>0</v>
      </c>
      <c r="K6" s="495">
        <v>0</v>
      </c>
      <c r="L6" s="491">
        <f t="shared" si="0"/>
        <v>9425213.2874999996</v>
      </c>
      <c r="M6" s="495">
        <f>IA!G31</f>
        <v>9821191.85546875</v>
      </c>
      <c r="N6" s="496">
        <f>IA!H31</f>
        <v>7590424.963135547</v>
      </c>
    </row>
    <row r="7" spans="1:15" x14ac:dyDescent="0.25">
      <c r="A7" s="490" t="s">
        <v>401</v>
      </c>
      <c r="B7" s="495">
        <f>CFO!G15</f>
        <v>3654163.875</v>
      </c>
      <c r="C7" s="495">
        <f>CFO!G21</f>
        <v>283166.9375</v>
      </c>
      <c r="D7" s="495">
        <f>CFO!G24</f>
        <v>1532181.09</v>
      </c>
      <c r="E7" s="491"/>
      <c r="F7" s="495">
        <f>CFO!G27</f>
        <v>159375</v>
      </c>
      <c r="G7" s="495">
        <v>0</v>
      </c>
      <c r="H7" s="495">
        <v>0</v>
      </c>
      <c r="I7" s="495">
        <f>CFO!G37</f>
        <v>7313567.375</v>
      </c>
      <c r="J7" s="495">
        <v>0</v>
      </c>
      <c r="K7" s="495">
        <v>0</v>
      </c>
      <c r="L7" s="491">
        <f t="shared" si="0"/>
        <v>12942454.2775</v>
      </c>
      <c r="M7" s="495">
        <f>CFO!H39</f>
        <v>14111075.969843749</v>
      </c>
      <c r="N7" s="496">
        <f>CFO!I39</f>
        <v>14683672.401658986</v>
      </c>
    </row>
    <row r="8" spans="1:15" x14ac:dyDescent="0.25">
      <c r="A8" s="490" t="s">
        <v>405</v>
      </c>
      <c r="B8" s="495">
        <f>'Budget and Reporting'!G9</f>
        <v>2574740.625</v>
      </c>
      <c r="C8" s="495">
        <f>'Budget and Reporting'!G16</f>
        <v>498238.125</v>
      </c>
      <c r="D8" s="495">
        <v>0</v>
      </c>
      <c r="E8" s="491"/>
      <c r="F8" s="495">
        <f>'Budget and Reporting'!B17</f>
        <v>0</v>
      </c>
      <c r="G8" s="495">
        <f>'Budget and Reporting'!G28</f>
        <v>3300000</v>
      </c>
      <c r="H8" s="495">
        <v>0</v>
      </c>
      <c r="I8" s="495">
        <f>'Budget and Reporting'!G29-G8</f>
        <v>102761</v>
      </c>
      <c r="J8" s="495">
        <v>0</v>
      </c>
      <c r="K8" s="495"/>
      <c r="L8" s="491">
        <f t="shared" si="0"/>
        <v>6475739.75</v>
      </c>
      <c r="M8" s="495">
        <f>'Budget and Reporting'!H31</f>
        <v>3549864.0843750001</v>
      </c>
      <c r="N8" s="496">
        <f>'Budget and Reporting'!I31</f>
        <v>3771872.3390484378</v>
      </c>
    </row>
    <row r="9" spans="1:15" x14ac:dyDescent="0.25">
      <c r="A9" s="490" t="s">
        <v>402</v>
      </c>
      <c r="B9" s="495">
        <f>Expenditure!G9</f>
        <v>5854702.3125</v>
      </c>
      <c r="C9" s="495">
        <f>Expenditure!G16</f>
        <v>1001524.25</v>
      </c>
      <c r="D9" s="495">
        <v>0</v>
      </c>
      <c r="E9" s="491"/>
      <c r="F9" s="495">
        <v>0</v>
      </c>
      <c r="G9" s="495"/>
      <c r="H9" s="495">
        <v>0</v>
      </c>
      <c r="I9" s="495">
        <f>Expenditure!G30</f>
        <v>6576629.3224999998</v>
      </c>
      <c r="J9" s="495">
        <v>0</v>
      </c>
      <c r="K9" s="495"/>
      <c r="L9" s="491">
        <f t="shared" si="0"/>
        <v>13432855.885</v>
      </c>
      <c r="M9" s="495">
        <f>Expenditure!H32</f>
        <v>13439153.4278125</v>
      </c>
      <c r="N9" s="496">
        <f>Expenditure!I32</f>
        <v>14279213.082750782</v>
      </c>
    </row>
    <row r="10" spans="1:15" x14ac:dyDescent="0.25">
      <c r="A10" s="490" t="s">
        <v>403</v>
      </c>
      <c r="B10" s="495">
        <f>'Revenue Management'!G9</f>
        <v>5860565</v>
      </c>
      <c r="C10" s="495">
        <f>'Revenue Management'!G16</f>
        <v>978706.4375</v>
      </c>
      <c r="D10" s="495">
        <v>0</v>
      </c>
      <c r="E10" s="491"/>
      <c r="F10" s="495">
        <f>'Revenue Management'!G26</f>
        <v>15000000</v>
      </c>
      <c r="G10" s="495">
        <f>'Revenue Management'!G31</f>
        <v>2250000</v>
      </c>
      <c r="H10" s="495">
        <v>0</v>
      </c>
      <c r="I10" s="495">
        <f>'Revenue Management'!G32-G10</f>
        <v>74024.4375</v>
      </c>
      <c r="J10" s="495">
        <v>0</v>
      </c>
      <c r="K10" s="495"/>
      <c r="L10" s="491">
        <f t="shared" si="0"/>
        <v>24163295.875</v>
      </c>
      <c r="M10" s="495">
        <f>'Revenue Management'!H34</f>
        <v>109882002.1671875</v>
      </c>
      <c r="N10" s="496">
        <f>'Revenue Management'!I34</f>
        <v>107729045.80583672</v>
      </c>
    </row>
    <row r="11" spans="1:15" x14ac:dyDescent="0.25">
      <c r="A11" s="490" t="s">
        <v>404</v>
      </c>
      <c r="B11" s="495">
        <f>'Asset Management'!G9</f>
        <v>2974740.625</v>
      </c>
      <c r="C11" s="495">
        <f>'Asset Management'!G16</f>
        <v>503562.125</v>
      </c>
      <c r="D11" s="495">
        <v>0</v>
      </c>
      <c r="E11" s="491"/>
      <c r="F11" s="495">
        <v>0</v>
      </c>
      <c r="G11" s="495">
        <f>'Asset Management'!G32</f>
        <v>3800000</v>
      </c>
      <c r="H11" s="495">
        <v>0</v>
      </c>
      <c r="I11" s="495">
        <f>'Asset Management'!G34-'Asset Management'!G32</f>
        <v>172761.4375</v>
      </c>
      <c r="J11" s="495">
        <v>0</v>
      </c>
      <c r="K11" s="495"/>
      <c r="L11" s="491">
        <f t="shared" si="0"/>
        <v>7451064.1875</v>
      </c>
      <c r="M11" s="491">
        <f>'Asset Management'!H36</f>
        <v>7702989.5492187496</v>
      </c>
      <c r="N11" s="491">
        <f>'Asset Management'!I36</f>
        <v>8028318.1454449221</v>
      </c>
    </row>
    <row r="12" spans="1:15" s="9" customFormat="1" x14ac:dyDescent="0.25">
      <c r="A12" s="490" t="s">
        <v>400</v>
      </c>
      <c r="B12" s="491">
        <f>SCM!G9</f>
        <v>5678319</v>
      </c>
      <c r="C12" s="491">
        <f>SCM!G16</f>
        <v>1020706.3125</v>
      </c>
      <c r="D12" s="491">
        <v>0</v>
      </c>
      <c r="E12" s="491">
        <v>0</v>
      </c>
      <c r="F12" s="491">
        <v>0</v>
      </c>
      <c r="G12" s="491">
        <v>0</v>
      </c>
      <c r="H12" s="491">
        <v>0</v>
      </c>
      <c r="I12" s="491">
        <f>SCM!G37</f>
        <v>222219.6875</v>
      </c>
      <c r="J12" s="491">
        <f>'B&amp;T CAPITAL'!G11</f>
        <v>13250000</v>
      </c>
      <c r="K12" s="491">
        <v>0</v>
      </c>
      <c r="L12" s="491">
        <f t="shared" si="0"/>
        <v>20171245</v>
      </c>
      <c r="M12" s="491">
        <f>SCM!C39+'B&amp;T CAPITAL'!H11</f>
        <v>7944905</v>
      </c>
      <c r="N12" s="492">
        <f>SCM!H39+'B&amp;T CAPITAL'!I11</f>
        <v>8400433.8625000007</v>
      </c>
      <c r="O12" s="600"/>
    </row>
    <row r="13" spans="1:15" s="9" customFormat="1" x14ac:dyDescent="0.25">
      <c r="A13" s="490" t="s">
        <v>93</v>
      </c>
      <c r="B13" s="491">
        <f>'P&amp;D'!G11</f>
        <v>1781351.75</v>
      </c>
      <c r="C13" s="491">
        <f>'P&amp;D'!G19</f>
        <v>387046.5</v>
      </c>
      <c r="D13" s="491">
        <f>'P&amp;D'!G23</f>
        <v>223472.20499999999</v>
      </c>
      <c r="E13" s="491">
        <v>0</v>
      </c>
      <c r="F13" s="491">
        <f>'P&amp;D'!G26</f>
        <v>6375</v>
      </c>
      <c r="G13" s="491">
        <v>0</v>
      </c>
      <c r="H13" s="491">
        <v>0</v>
      </c>
      <c r="I13" s="491">
        <f>'P&amp;D'!G34</f>
        <v>80746.125</v>
      </c>
      <c r="J13" s="491">
        <v>0</v>
      </c>
      <c r="K13" s="491">
        <v>0</v>
      </c>
      <c r="L13" s="491">
        <f t="shared" si="0"/>
        <v>2478991.58</v>
      </c>
      <c r="M13" s="491">
        <f>'P&amp;D'!H36</f>
        <v>2695536.10225</v>
      </c>
      <c r="N13" s="492">
        <f>'P&amp;D'!I36</f>
        <v>2864111.1207371252</v>
      </c>
      <c r="O13" s="600"/>
    </row>
    <row r="14" spans="1:15" s="9" customFormat="1" x14ac:dyDescent="0.25">
      <c r="A14" s="490" t="s">
        <v>576</v>
      </c>
      <c r="B14" s="491">
        <f>'Spatial Planning'!G9</f>
        <v>1727991.125</v>
      </c>
      <c r="C14" s="491">
        <f>'Spatial Planning'!G16</f>
        <v>359944.5</v>
      </c>
      <c r="D14" s="491">
        <v>0</v>
      </c>
      <c r="E14" s="491">
        <v>0</v>
      </c>
      <c r="F14" s="491">
        <v>0</v>
      </c>
      <c r="G14" s="491">
        <v>0</v>
      </c>
      <c r="H14" s="491">
        <v>0</v>
      </c>
      <c r="I14" s="491">
        <f>'Spatial Planning'!G37</f>
        <v>2273190.5625</v>
      </c>
      <c r="J14" s="491"/>
      <c r="K14" s="491"/>
      <c r="L14" s="491">
        <f t="shared" si="0"/>
        <v>4361126.1875</v>
      </c>
      <c r="M14" s="491">
        <f>'Spatial Planning'!H39</f>
        <v>4349383.9742187504</v>
      </c>
      <c r="N14" s="492">
        <f>'Spatial Planning'!I39</f>
        <v>4496287.1782074217</v>
      </c>
      <c r="O14" s="600"/>
    </row>
    <row r="15" spans="1:15" s="9" customFormat="1" x14ac:dyDescent="0.25">
      <c r="A15" s="490" t="s">
        <v>577</v>
      </c>
      <c r="B15" s="491">
        <f>GIS!G9</f>
        <v>1696512.375</v>
      </c>
      <c r="C15" s="491">
        <f>GIS!G16</f>
        <v>359944.5</v>
      </c>
      <c r="D15" s="491">
        <v>0</v>
      </c>
      <c r="E15" s="491">
        <v>0</v>
      </c>
      <c r="F15" s="491">
        <f>GIS!G23</f>
        <v>0</v>
      </c>
      <c r="G15" s="491">
        <v>0</v>
      </c>
      <c r="H15" s="491">
        <v>0</v>
      </c>
      <c r="I15" s="491">
        <f>GIS!G38</f>
        <v>3862191</v>
      </c>
      <c r="J15" s="491"/>
      <c r="K15" s="491"/>
      <c r="L15" s="491">
        <f t="shared" si="0"/>
        <v>5918647.875</v>
      </c>
      <c r="M15" s="491">
        <f>GIS!H40</f>
        <v>8703169.5171875004</v>
      </c>
      <c r="N15" s="492">
        <f>GIS!I40</f>
        <v>11930873.567611719</v>
      </c>
      <c r="O15" s="600"/>
    </row>
    <row r="16" spans="1:15" s="9" customFormat="1" x14ac:dyDescent="0.25">
      <c r="A16" s="490" t="s">
        <v>94</v>
      </c>
      <c r="B16" s="491">
        <f>LED!G10</f>
        <v>1738575.125</v>
      </c>
      <c r="C16" s="491">
        <f>LED!G17</f>
        <v>350562.5</v>
      </c>
      <c r="D16" s="491">
        <f>LED!G20</f>
        <v>29748.014999999999</v>
      </c>
      <c r="E16" s="491">
        <v>0</v>
      </c>
      <c r="F16" s="491">
        <v>0</v>
      </c>
      <c r="G16" s="491">
        <v>0</v>
      </c>
      <c r="H16" s="491">
        <v>0</v>
      </c>
      <c r="I16" s="491">
        <f>LED!G46</f>
        <v>15265350.5625</v>
      </c>
      <c r="J16" s="491">
        <v>0</v>
      </c>
      <c r="K16" s="491">
        <v>0</v>
      </c>
      <c r="L16" s="491">
        <f t="shared" si="0"/>
        <v>17384236.202500001</v>
      </c>
      <c r="M16" s="491">
        <f>LED!H48</f>
        <v>7940509.3401562497</v>
      </c>
      <c r="N16" s="492">
        <f>LED!I48</f>
        <v>8693145.4014160149</v>
      </c>
      <c r="O16" s="600"/>
    </row>
    <row r="17" spans="1:15" s="9" customFormat="1" x14ac:dyDescent="0.25">
      <c r="A17" s="490" t="s">
        <v>95</v>
      </c>
      <c r="B17" s="491">
        <f>IDP!G9</f>
        <v>2071635.5</v>
      </c>
      <c r="C17" s="491">
        <f>IDP!G16</f>
        <v>348436.125</v>
      </c>
      <c r="D17" s="491">
        <v>0</v>
      </c>
      <c r="E17" s="491">
        <v>0</v>
      </c>
      <c r="F17" s="491">
        <v>0</v>
      </c>
      <c r="G17" s="491">
        <v>0</v>
      </c>
      <c r="H17" s="491">
        <v>0</v>
      </c>
      <c r="I17" s="491">
        <f>IDP!G23</f>
        <v>820705.125</v>
      </c>
      <c r="J17" s="491">
        <v>0</v>
      </c>
      <c r="K17" s="491">
        <v>0</v>
      </c>
      <c r="L17" s="491">
        <f t="shared" si="0"/>
        <v>3240776.75</v>
      </c>
      <c r="M17" s="491">
        <f>IDP!H25</f>
        <v>4175060.0218750001</v>
      </c>
      <c r="N17" s="492">
        <f>IDP!I25</f>
        <v>4471122.177142188</v>
      </c>
      <c r="O17" s="600"/>
    </row>
    <row r="18" spans="1:15" s="9" customFormat="1" x14ac:dyDescent="0.25">
      <c r="A18" s="490" t="s">
        <v>96</v>
      </c>
      <c r="B18" s="491">
        <f>COMM!G9</f>
        <v>3887222.6875</v>
      </c>
      <c r="C18" s="491">
        <f>COMM!G16</f>
        <v>812853.5625</v>
      </c>
      <c r="D18" s="491">
        <f>COMM!G19</f>
        <v>67334.574999999997</v>
      </c>
      <c r="E18" s="491">
        <v>0</v>
      </c>
      <c r="F18" s="491">
        <v>0</v>
      </c>
      <c r="G18" s="491">
        <f>COMM!G26</f>
        <v>1000000</v>
      </c>
      <c r="H18" s="491">
        <v>0</v>
      </c>
      <c r="I18" s="491">
        <f>COMM!G29-G18</f>
        <v>863100</v>
      </c>
      <c r="J18" s="491">
        <f>'Communication CAPITAL'!G6</f>
        <v>100000</v>
      </c>
      <c r="K18" s="491">
        <v>0</v>
      </c>
      <c r="L18" s="491">
        <f t="shared" si="0"/>
        <v>6730510.8250000002</v>
      </c>
      <c r="M18" s="491">
        <f>COMM!H31</f>
        <v>8857906.0640625004</v>
      </c>
      <c r="N18" s="492">
        <f>COMM!I31</f>
        <v>9324233.6480664052</v>
      </c>
      <c r="O18" s="600"/>
    </row>
    <row r="19" spans="1:15" s="9" customFormat="1" x14ac:dyDescent="0.25">
      <c r="A19" s="490" t="s">
        <v>161</v>
      </c>
      <c r="B19" s="491">
        <f>ENGINEERING!G10</f>
        <v>1965084</v>
      </c>
      <c r="C19" s="491">
        <f>ENGINEERING!G17</f>
        <v>1560901.875</v>
      </c>
      <c r="D19" s="491">
        <f>ENGINEERING!G20</f>
        <v>2365173.58</v>
      </c>
      <c r="E19" s="491">
        <v>0</v>
      </c>
      <c r="F19" s="491">
        <f>ENGINEERING!G23</f>
        <v>63750</v>
      </c>
      <c r="G19" s="491">
        <f>ENGINEERING!G29</f>
        <v>2225000</v>
      </c>
      <c r="H19" s="491">
        <v>0</v>
      </c>
      <c r="I19" s="491">
        <f>ENGINEERING!G30-G19</f>
        <v>115965.5625</v>
      </c>
      <c r="J19" s="491">
        <v>0</v>
      </c>
      <c r="K19" s="491">
        <f>ENGINEERING!G33</f>
        <v>0</v>
      </c>
      <c r="L19" s="491">
        <f t="shared" si="0"/>
        <v>8295875.0175000001</v>
      </c>
      <c r="M19" s="491">
        <f>ENGINEERING!H35</f>
        <v>7431767.8810937498</v>
      </c>
      <c r="N19" s="492">
        <f>ENGINEERING!I35</f>
        <v>7885532.5573621094</v>
      </c>
      <c r="O19" s="600"/>
    </row>
    <row r="20" spans="1:15" s="9" customFormat="1" x14ac:dyDescent="0.25">
      <c r="A20" s="490" t="s">
        <v>97</v>
      </c>
      <c r="B20" s="491">
        <f>WATER!G12</f>
        <v>98068188.125</v>
      </c>
      <c r="C20" s="491">
        <f>WATER!G20</f>
        <v>13783445.625</v>
      </c>
      <c r="D20" s="491">
        <f>WATER!G23</f>
        <v>172656566.77500001</v>
      </c>
      <c r="E20" s="491">
        <v>0</v>
      </c>
      <c r="F20" s="491">
        <f>WATER!G31</f>
        <v>209090625</v>
      </c>
      <c r="G20" s="491">
        <f>WATER!G40</f>
        <v>18287500</v>
      </c>
      <c r="H20" s="491">
        <f>WATER!G37</f>
        <v>238000000</v>
      </c>
      <c r="I20" s="491">
        <f>WATER!G60</f>
        <v>13896317.824999999</v>
      </c>
      <c r="J20" s="491">
        <v>0</v>
      </c>
      <c r="K20" s="491">
        <f>'WATER (2)'!G53</f>
        <v>237692983.60000002</v>
      </c>
      <c r="L20" s="491">
        <f t="shared" si="0"/>
        <v>1001475626.95</v>
      </c>
      <c r="M20" s="491">
        <f>WATER!H63</f>
        <v>650002192.34687495</v>
      </c>
      <c r="N20" s="492">
        <f>WATER!I63</f>
        <v>707489829.36855471</v>
      </c>
      <c r="O20" s="600"/>
    </row>
    <row r="21" spans="1:15" s="9" customFormat="1" x14ac:dyDescent="0.25">
      <c r="A21" s="490" t="s">
        <v>98</v>
      </c>
      <c r="B21" s="491">
        <f>HEALTH!G9</f>
        <v>23780807.6875</v>
      </c>
      <c r="C21" s="491">
        <f>HEALTH!G16</f>
        <v>4456221.125</v>
      </c>
      <c r="D21" s="491">
        <v>0</v>
      </c>
      <c r="E21" s="491">
        <v>0</v>
      </c>
      <c r="F21" s="491">
        <f>HEALTH!G20</f>
        <v>500000</v>
      </c>
      <c r="G21" s="491">
        <v>0</v>
      </c>
      <c r="H21" s="491">
        <v>0</v>
      </c>
      <c r="I21" s="491">
        <f>HEALTH!G38</f>
        <v>4187701.5625</v>
      </c>
      <c r="J21" s="491">
        <v>0</v>
      </c>
      <c r="K21" s="491">
        <v>0</v>
      </c>
      <c r="L21" s="491">
        <f t="shared" si="0"/>
        <v>32924730.375</v>
      </c>
      <c r="M21" s="491">
        <f>HEALTH!H40</f>
        <v>37042268.2734375</v>
      </c>
      <c r="N21" s="492">
        <f>HEALTH!I40</f>
        <v>48589832.964123048</v>
      </c>
      <c r="O21" s="600"/>
    </row>
    <row r="22" spans="1:15" s="9" customFormat="1" x14ac:dyDescent="0.25">
      <c r="A22" s="490" t="s">
        <v>99</v>
      </c>
      <c r="B22" s="491">
        <f>ELECTRICAL!G9</f>
        <v>1403279.5625</v>
      </c>
      <c r="C22" s="491">
        <f>ELECTRICAL!G16</f>
        <v>325497.5625</v>
      </c>
      <c r="D22" s="491">
        <v>0</v>
      </c>
      <c r="E22" s="491">
        <v>0</v>
      </c>
      <c r="F22" s="491">
        <v>0</v>
      </c>
      <c r="G22" s="491">
        <v>0</v>
      </c>
      <c r="H22" s="491">
        <v>0</v>
      </c>
      <c r="I22" s="491">
        <f>ELECTRICAL!G25</f>
        <v>69856</v>
      </c>
      <c r="J22" s="491">
        <v>0</v>
      </c>
      <c r="K22" s="491"/>
      <c r="L22" s="491">
        <f t="shared" si="0"/>
        <v>1798633.125</v>
      </c>
      <c r="M22" s="491">
        <f>ELECTRICAL!H27</f>
        <v>3083505.6578124999</v>
      </c>
      <c r="N22" s="492">
        <f>ELECTRICAL!I27</f>
        <v>3413145.6215257812</v>
      </c>
      <c r="O22" s="600"/>
    </row>
    <row r="23" spans="1:15" s="9" customFormat="1" x14ac:dyDescent="0.25">
      <c r="A23" s="490" t="s">
        <v>100</v>
      </c>
      <c r="B23" s="491">
        <f>ROADS!G11</f>
        <v>3967566.0625</v>
      </c>
      <c r="C23" s="491">
        <f>ROADS!G19</f>
        <v>943198.4375</v>
      </c>
      <c r="D23" s="491">
        <f>ROADS!G22</f>
        <v>5937.69</v>
      </c>
      <c r="E23" s="491">
        <v>0</v>
      </c>
      <c r="F23" s="491">
        <f>ROADS!G25</f>
        <v>500000</v>
      </c>
      <c r="G23" s="491">
        <v>0</v>
      </c>
      <c r="H23" s="491">
        <v>0</v>
      </c>
      <c r="I23" s="491">
        <f>ROADS!G36</f>
        <v>625421.5</v>
      </c>
      <c r="J23" s="491">
        <v>0</v>
      </c>
      <c r="K23" s="491">
        <v>0</v>
      </c>
      <c r="L23" s="491">
        <f t="shared" si="0"/>
        <v>6042123.6900000004</v>
      </c>
      <c r="M23" s="491">
        <f>ROADS!H38</f>
        <v>8434631.9768749997</v>
      </c>
      <c r="N23" s="492">
        <f>ROADS!I38</f>
        <v>8879401.074092187</v>
      </c>
      <c r="O23" s="600"/>
    </row>
    <row r="24" spans="1:15" s="9" customFormat="1" x14ac:dyDescent="0.25">
      <c r="A24" s="490" t="s">
        <v>101</v>
      </c>
      <c r="B24" s="491">
        <f>COMMUNITY!G9</f>
        <v>10871466.8125</v>
      </c>
      <c r="C24" s="491">
        <f>COMMUNITY!G16</f>
        <v>596266.25</v>
      </c>
      <c r="D24" s="491">
        <f>COMMUNITY!G19</f>
        <v>1343835.5149999999</v>
      </c>
      <c r="E24" s="491">
        <v>0</v>
      </c>
      <c r="F24" s="491">
        <f>COMMUNITY!G22</f>
        <v>12750</v>
      </c>
      <c r="G24" s="491">
        <v>0</v>
      </c>
      <c r="H24" s="491">
        <v>0</v>
      </c>
      <c r="I24" s="491">
        <f>COMMUNITY!G31</f>
        <v>248843.9375</v>
      </c>
      <c r="J24" s="491">
        <v>0</v>
      </c>
      <c r="K24" s="491">
        <v>0</v>
      </c>
      <c r="L24" s="491">
        <f t="shared" si="0"/>
        <v>13073162.515000001</v>
      </c>
      <c r="M24" s="491">
        <f>COMMUNITY!H33</f>
        <v>6383291.7221874995</v>
      </c>
      <c r="N24" s="492">
        <f>COMMUNITY!I33</f>
        <v>6787985.0205242187</v>
      </c>
      <c r="O24" s="600"/>
    </row>
    <row r="25" spans="1:15" s="9" customFormat="1" x14ac:dyDescent="0.25">
      <c r="A25" s="490" t="s">
        <v>347</v>
      </c>
      <c r="B25" s="491">
        <f>'FIRE-BA PHALABORWA'!G12</f>
        <v>9971947.5</v>
      </c>
      <c r="C25" s="491">
        <f>'FIRE-BA PHALABORWA'!G19</f>
        <v>1760895.3049999999</v>
      </c>
      <c r="D25" s="491">
        <f>'FIRE-BA PHALABORWA'!G23</f>
        <v>5735158.5499999998</v>
      </c>
      <c r="E25" s="491">
        <v>0</v>
      </c>
      <c r="F25" s="491">
        <f>'FIRE-BA PHALABORWA'!G27</f>
        <v>187812.5</v>
      </c>
      <c r="G25" s="491">
        <v>0</v>
      </c>
      <c r="H25" s="491">
        <v>0</v>
      </c>
      <c r="I25" s="491">
        <f>'FIRE-BA PHALABORWA'!G38</f>
        <v>409540.94500000001</v>
      </c>
      <c r="J25" s="491">
        <f>'FIRE CAPITAL'!G18</f>
        <v>18450000</v>
      </c>
      <c r="K25" s="491">
        <v>0</v>
      </c>
      <c r="L25" s="491">
        <f t="shared" si="0"/>
        <v>36515354.799999997</v>
      </c>
      <c r="M25" s="491">
        <f>'FIRE-BA PHALABORWA'!C40+'FIRE CAPITAL'!H18</f>
        <v>29553386.800000001</v>
      </c>
      <c r="N25" s="492">
        <f>'FIRE-BA PHALABORWA'!H40+'FIRE CAPITAL'!I18</f>
        <v>41096658.551875003</v>
      </c>
      <c r="O25" s="600"/>
    </row>
    <row r="26" spans="1:15" s="9" customFormat="1" x14ac:dyDescent="0.25">
      <c r="A26" s="490" t="s">
        <v>348</v>
      </c>
      <c r="B26" s="491">
        <f>'FIRE-GIYANI'!G11</f>
        <v>9587111.375</v>
      </c>
      <c r="C26" s="491">
        <f>'FIRE-GIYANI'!G17</f>
        <v>1562953.375</v>
      </c>
      <c r="D26" s="491">
        <v>0</v>
      </c>
      <c r="E26" s="491">
        <v>0</v>
      </c>
      <c r="F26" s="491">
        <f>'FIRE-GIYANI'!G22</f>
        <v>217812.5</v>
      </c>
      <c r="G26" s="491">
        <v>0</v>
      </c>
      <c r="H26" s="491">
        <v>0</v>
      </c>
      <c r="I26" s="491">
        <f>'FIRE-GIYANI'!G32</f>
        <v>355721.625</v>
      </c>
      <c r="J26" s="491">
        <v>0</v>
      </c>
      <c r="K26" s="491">
        <v>0</v>
      </c>
      <c r="L26" s="491">
        <f t="shared" si="0"/>
        <v>11723598.875</v>
      </c>
      <c r="M26" s="491">
        <f>'FIRE-GIYANI'!H34</f>
        <v>13501826.9921875</v>
      </c>
      <c r="N26" s="492">
        <f>'FIRE-GIYANI'!I34</f>
        <v>14345691.179199219</v>
      </c>
      <c r="O26" s="600"/>
    </row>
    <row r="27" spans="1:15" s="9" customFormat="1" x14ac:dyDescent="0.25">
      <c r="A27" s="490" t="s">
        <v>349</v>
      </c>
      <c r="B27" s="491">
        <f>'FIRE-LETABA'!G12</f>
        <v>7998505.125</v>
      </c>
      <c r="C27" s="491">
        <f>'FIRE-LETABA'!G19</f>
        <v>1254626.625</v>
      </c>
      <c r="D27" s="491">
        <v>0</v>
      </c>
      <c r="E27" s="491">
        <v>0</v>
      </c>
      <c r="F27" s="491">
        <f>'FIRE-LETABA'!G23</f>
        <v>217812.5</v>
      </c>
      <c r="G27" s="491">
        <v>0</v>
      </c>
      <c r="H27" s="491">
        <v>0</v>
      </c>
      <c r="I27" s="491">
        <f>'FIRE-LETABA'!G34</f>
        <v>7958378.4375</v>
      </c>
      <c r="J27" s="491">
        <v>0</v>
      </c>
      <c r="K27" s="491">
        <v>0</v>
      </c>
      <c r="L27" s="491">
        <f t="shared" si="0"/>
        <v>17429322.6875</v>
      </c>
      <c r="M27" s="491">
        <f>'FIRE-LETABA'!H36</f>
        <v>11351832.54296875</v>
      </c>
      <c r="N27" s="492">
        <f>'FIRE-LETABA'!I36</f>
        <v>12061322.076904297</v>
      </c>
      <c r="O27" s="600"/>
    </row>
    <row r="28" spans="1:15" s="9" customFormat="1" x14ac:dyDescent="0.25">
      <c r="A28" s="490" t="s">
        <v>350</v>
      </c>
      <c r="B28" s="491">
        <f>'FIRE-TZANEEN'!G14</f>
        <v>14249430</v>
      </c>
      <c r="C28" s="491">
        <f>'FIRE-TZANEEN'!G19</f>
        <v>2230746</v>
      </c>
      <c r="D28" s="491">
        <v>0</v>
      </c>
      <c r="E28" s="491">
        <v>0</v>
      </c>
      <c r="F28" s="491">
        <f>'FIRE-TZANEEN'!G24</f>
        <v>470000</v>
      </c>
      <c r="G28" s="491">
        <v>0</v>
      </c>
      <c r="H28" s="491">
        <v>0</v>
      </c>
      <c r="I28" s="491">
        <f>'FIRE-TZANEEN'!G39</f>
        <v>1401439</v>
      </c>
      <c r="J28" s="491">
        <v>0</v>
      </c>
      <c r="K28" s="491">
        <v>0</v>
      </c>
      <c r="L28" s="491">
        <f t="shared" si="0"/>
        <v>18351615</v>
      </c>
      <c r="M28" s="491">
        <f>'FIRE-TZANEEN'!H41</f>
        <v>21891639.9375</v>
      </c>
      <c r="N28" s="492">
        <f>'FIRE-TZANEEN'!I41</f>
        <v>20149471.05859375</v>
      </c>
      <c r="O28" s="600"/>
    </row>
    <row r="29" spans="1:15" s="9" customFormat="1" x14ac:dyDescent="0.25">
      <c r="A29" s="490" t="s">
        <v>351</v>
      </c>
      <c r="B29" s="491">
        <f>'FIRE -MARULENG'!G11</f>
        <v>8388264</v>
      </c>
      <c r="C29" s="491">
        <f>'FIRE -MARULENG'!G17</f>
        <v>1262182</v>
      </c>
      <c r="D29" s="491">
        <v>0</v>
      </c>
      <c r="E29" s="491">
        <v>0</v>
      </c>
      <c r="F29" s="491">
        <f>'FIRE -MARULENG'!G21</f>
        <v>205000</v>
      </c>
      <c r="G29" s="491">
        <v>0</v>
      </c>
      <c r="H29" s="491">
        <v>0</v>
      </c>
      <c r="I29" s="491">
        <f>'FIRE -MARULENG'!G31</f>
        <v>304138</v>
      </c>
      <c r="J29" s="491">
        <v>0</v>
      </c>
      <c r="K29" s="491">
        <v>0</v>
      </c>
      <c r="L29" s="491">
        <f t="shared" si="0"/>
        <v>10159584</v>
      </c>
      <c r="M29" s="491">
        <f>'FIRE -MARULENG'!H33</f>
        <v>7856171.75</v>
      </c>
      <c r="N29" s="492">
        <f>'FIRE -MARULENG'!I33</f>
        <v>8341847.78125</v>
      </c>
      <c r="O29" s="600"/>
    </row>
    <row r="30" spans="1:15" s="9" customFormat="1" x14ac:dyDescent="0.25">
      <c r="A30" s="490" t="s">
        <v>102</v>
      </c>
      <c r="B30" s="491">
        <f>DISASTER!G11</f>
        <v>12736233</v>
      </c>
      <c r="C30" s="491">
        <f>DISASTER!G19</f>
        <v>2492214</v>
      </c>
      <c r="D30" s="491">
        <f>DISASTER!G22</f>
        <v>652145</v>
      </c>
      <c r="E30" s="491">
        <v>0</v>
      </c>
      <c r="F30" s="491">
        <f>DISASTER!G27</f>
        <v>2400000</v>
      </c>
      <c r="G30" s="491">
        <v>0</v>
      </c>
      <c r="H30" s="491">
        <v>0</v>
      </c>
      <c r="I30" s="491">
        <f>DISASTER!G63</f>
        <v>17082996</v>
      </c>
      <c r="J30" s="491">
        <f>'DISASTER CAPITAL'!G15</f>
        <v>0</v>
      </c>
      <c r="K30" s="491">
        <v>0</v>
      </c>
      <c r="L30" s="491">
        <f t="shared" si="0"/>
        <v>35363588</v>
      </c>
      <c r="M30" s="491">
        <f>DISASTER!C65+'DISASTER CAPITAL'!H15</f>
        <v>34412628</v>
      </c>
      <c r="N30" s="492">
        <f>DISASTER!H65+'DISASTER CAPITAL'!I15</f>
        <v>23556098.375</v>
      </c>
      <c r="O30" s="600"/>
    </row>
    <row r="31" spans="1:15" s="9" customFormat="1" x14ac:dyDescent="0.25">
      <c r="A31" s="490" t="s">
        <v>103</v>
      </c>
      <c r="B31" s="491">
        <f>CORPORATE!G10</f>
        <v>2115625.5</v>
      </c>
      <c r="C31" s="491">
        <f>CORPORATE!G17</f>
        <v>167663.125</v>
      </c>
      <c r="D31" s="491">
        <f>CORPORATE!G20</f>
        <v>151190.6</v>
      </c>
      <c r="E31" s="491">
        <v>0</v>
      </c>
      <c r="F31" s="491">
        <f>CORPORATE!G23</f>
        <v>63750</v>
      </c>
      <c r="G31" s="491">
        <v>0</v>
      </c>
      <c r="H31" s="491">
        <v>0</v>
      </c>
      <c r="I31" s="491">
        <f>CORPORATE!G31</f>
        <v>189757.875</v>
      </c>
      <c r="J31" s="491">
        <v>0</v>
      </c>
      <c r="K31" s="491">
        <v>0</v>
      </c>
      <c r="L31" s="491">
        <f t="shared" si="0"/>
        <v>2687987.1</v>
      </c>
      <c r="M31" s="491">
        <f>CORPORATE!H33</f>
        <v>3032570.8125</v>
      </c>
      <c r="N31" s="492">
        <f>CORPORATE!I33</f>
        <v>3222135.6719812499</v>
      </c>
      <c r="O31" s="600"/>
    </row>
    <row r="32" spans="1:15" s="9" customFormat="1" x14ac:dyDescent="0.25">
      <c r="A32" s="490" t="s">
        <v>104</v>
      </c>
      <c r="B32" s="491">
        <f>HR!G10</f>
        <v>9801079.625</v>
      </c>
      <c r="C32" s="491">
        <f>HR!G17</f>
        <v>2271881.8125</v>
      </c>
      <c r="D32" s="491">
        <f>HR!G20</f>
        <v>45642.464999999997</v>
      </c>
      <c r="E32" s="491">
        <v>0</v>
      </c>
      <c r="F32" s="491">
        <v>0</v>
      </c>
      <c r="G32" s="491"/>
      <c r="H32" s="491">
        <v>0</v>
      </c>
      <c r="I32" s="491">
        <f>HR!G37-G32</f>
        <v>10597789.5625</v>
      </c>
      <c r="J32" s="491">
        <v>0</v>
      </c>
      <c r="K32" s="491">
        <v>0</v>
      </c>
      <c r="L32" s="491">
        <f t="shared" si="0"/>
        <v>22716393.465</v>
      </c>
      <c r="M32" s="491">
        <f>HR!H39</f>
        <v>19239088.4565625</v>
      </c>
      <c r="N32" s="492">
        <f>HR!I39</f>
        <v>20626973.263697654</v>
      </c>
      <c r="O32" s="600"/>
    </row>
    <row r="33" spans="1:15" s="9" customFormat="1" x14ac:dyDescent="0.25">
      <c r="A33" s="490" t="s">
        <v>105</v>
      </c>
      <c r="B33" s="491">
        <f>ADMIN!G10</f>
        <v>12916195.0625</v>
      </c>
      <c r="C33" s="491">
        <f>ADMIN!G17</f>
        <v>3261556.75</v>
      </c>
      <c r="D33" s="491">
        <f>ADMIN!G20</f>
        <v>345654.65</v>
      </c>
      <c r="E33" s="491">
        <v>0</v>
      </c>
      <c r="F33" s="491">
        <f>ADMIN!G24</f>
        <v>11000000</v>
      </c>
      <c r="G33" s="491">
        <v>0</v>
      </c>
      <c r="H33" s="491">
        <v>0</v>
      </c>
      <c r="I33" s="491">
        <f>ADMIN!G37</f>
        <v>4354624.625</v>
      </c>
      <c r="J33" s="491">
        <f>'ADMINISTRATION CAPITAL'!G9</f>
        <v>2198000</v>
      </c>
      <c r="K33" s="491">
        <v>0</v>
      </c>
      <c r="L33" s="491">
        <f t="shared" si="0"/>
        <v>34076031.087499999</v>
      </c>
      <c r="M33" s="491">
        <f>ADMIN!C39+'ADMINISTRATION CAPITAL'!H9</f>
        <v>31629029.087499999</v>
      </c>
      <c r="N33" s="492">
        <f>ADMIN!H39+'ADMINISTRATION CAPITAL'!I9</f>
        <v>26799171.305468749</v>
      </c>
      <c r="O33" s="600"/>
    </row>
    <row r="34" spans="1:15" s="9" customFormat="1" x14ac:dyDescent="0.25">
      <c r="A34" s="490" t="s">
        <v>106</v>
      </c>
      <c r="B34" s="491">
        <f>LEGAL!G9</f>
        <v>1312772.9375</v>
      </c>
      <c r="C34" s="491">
        <f>LEGAL!G14</f>
        <v>16090.9375</v>
      </c>
      <c r="D34" s="491">
        <f>LEGAL!G17</f>
        <v>3921.8850000000002</v>
      </c>
      <c r="E34" s="491">
        <v>0</v>
      </c>
      <c r="F34" s="491">
        <v>0</v>
      </c>
      <c r="G34" s="491">
        <f>LEGAL!G21</f>
        <v>12500000</v>
      </c>
      <c r="H34" s="491">
        <v>0</v>
      </c>
      <c r="I34" s="491">
        <f>LEGAL!G26-G34</f>
        <v>670556.9375</v>
      </c>
      <c r="J34" s="491">
        <v>0</v>
      </c>
      <c r="K34" s="491">
        <v>0</v>
      </c>
      <c r="L34" s="491">
        <f t="shared" si="0"/>
        <v>14503342.6975</v>
      </c>
      <c r="M34" s="491">
        <f>LEGAL!H28</f>
        <v>7245748.0160937505</v>
      </c>
      <c r="N34" s="492">
        <f>LEGAL!I28</f>
        <v>7705153.1271996098</v>
      </c>
      <c r="O34" s="600"/>
    </row>
    <row r="35" spans="1:15" s="9" customFormat="1" x14ac:dyDescent="0.25">
      <c r="A35" s="490" t="s">
        <v>168</v>
      </c>
      <c r="B35" s="491">
        <f>IT!G9</f>
        <v>1708135.4375</v>
      </c>
      <c r="C35" s="491">
        <f>IT!G16</f>
        <v>334398.5</v>
      </c>
      <c r="D35" s="491">
        <f>IT!G19</f>
        <v>14332.174999999999</v>
      </c>
      <c r="E35" s="491">
        <v>0</v>
      </c>
      <c r="F35" s="491">
        <f>IT!G25</f>
        <v>356750</v>
      </c>
      <c r="G35" s="491">
        <f>IT!G40+IT!G28</f>
        <v>10525120</v>
      </c>
      <c r="H35" s="491">
        <v>0</v>
      </c>
      <c r="I35" s="491">
        <f>IT!G41-G35</f>
        <v>8107695.5625</v>
      </c>
      <c r="J35" s="491">
        <f>'IT CAPITAL'!G12</f>
        <v>2010000</v>
      </c>
      <c r="K35" s="491"/>
      <c r="L35" s="491">
        <f t="shared" si="0"/>
        <v>23056431.675000001</v>
      </c>
      <c r="M35" s="491">
        <f>IT!H43</f>
        <v>17239703.846093751</v>
      </c>
      <c r="N35" s="492">
        <f>IT!I43</f>
        <v>16020310.336474609</v>
      </c>
      <c r="O35" s="600"/>
    </row>
    <row r="36" spans="1:15" s="9" customFormat="1" x14ac:dyDescent="0.25">
      <c r="A36" s="490" t="s">
        <v>107</v>
      </c>
      <c r="B36" s="491">
        <f>OEM!G13</f>
        <v>5640761.6875</v>
      </c>
      <c r="C36" s="491">
        <f>OEM!G25</f>
        <v>954544.25</v>
      </c>
      <c r="D36" s="491">
        <f>OEM!G28</f>
        <v>90674.65</v>
      </c>
      <c r="E36" s="491">
        <v>0</v>
      </c>
      <c r="F36" s="491">
        <f>OEM!G31</f>
        <v>105187.5</v>
      </c>
      <c r="G36" s="491">
        <v>0</v>
      </c>
      <c r="H36" s="491">
        <v>0</v>
      </c>
      <c r="I36" s="491">
        <f>OEM!G54</f>
        <v>1932885</v>
      </c>
      <c r="J36" s="491">
        <v>0</v>
      </c>
      <c r="K36" s="491">
        <v>0</v>
      </c>
      <c r="L36" s="491">
        <f t="shared" si="0"/>
        <v>8724053.0875000004</v>
      </c>
      <c r="M36" s="491">
        <f>OEM!H56</f>
        <v>10810840.48671875</v>
      </c>
      <c r="N36" s="492">
        <f>OEM!I56</f>
        <v>11509838.964838672</v>
      </c>
      <c r="O36" s="600"/>
    </row>
    <row r="37" spans="1:15" s="9" customFormat="1" x14ac:dyDescent="0.25">
      <c r="A37" s="490" t="s">
        <v>108</v>
      </c>
      <c r="B37" s="491">
        <f>SPEAKER!G10</f>
        <v>7252305.1875</v>
      </c>
      <c r="C37" s="491">
        <f>SPEAKER!G17</f>
        <v>1317282.9375</v>
      </c>
      <c r="D37" s="491">
        <f>SPEAKER!G20</f>
        <v>248365.15</v>
      </c>
      <c r="E37" s="491">
        <v>0</v>
      </c>
      <c r="F37" s="491">
        <f>SPEAKER!F23</f>
        <v>60000</v>
      </c>
      <c r="G37" s="491">
        <v>0</v>
      </c>
      <c r="H37" s="491">
        <v>0</v>
      </c>
      <c r="I37" s="491">
        <f>SPEAKER!G36</f>
        <v>2620720.375</v>
      </c>
      <c r="J37" s="491">
        <v>0</v>
      </c>
      <c r="K37" s="491">
        <v>0</v>
      </c>
      <c r="L37" s="491">
        <f t="shared" si="0"/>
        <v>11498673.65</v>
      </c>
      <c r="M37" s="491">
        <f>SPEAKER!H38</f>
        <v>12867049.240625</v>
      </c>
      <c r="N37" s="492">
        <f>SPEAKER!I38</f>
        <v>13760560.765864063</v>
      </c>
      <c r="O37" s="600"/>
    </row>
    <row r="38" spans="1:15" s="9" customFormat="1" x14ac:dyDescent="0.25">
      <c r="A38" s="490" t="s">
        <v>109</v>
      </c>
      <c r="B38" s="491">
        <f>'CHIEF WHIP'!G8</f>
        <v>627759.9375</v>
      </c>
      <c r="C38" s="491">
        <f>'CHIEF WHIP'!G15</f>
        <v>107038.6875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1">
        <f>'CHIEF WHIP'!G20</f>
        <v>18860.4375</v>
      </c>
      <c r="J38" s="491">
        <v>0</v>
      </c>
      <c r="K38" s="491">
        <v>0</v>
      </c>
      <c r="L38" s="491">
        <f t="shared" si="0"/>
        <v>753659.0625</v>
      </c>
      <c r="M38" s="491">
        <f>'CHIEF WHIP'!H22</f>
        <v>697703.44140625</v>
      </c>
      <c r="N38" s="492">
        <f>'CHIEF WHIP'!I22</f>
        <v>741309.90649414063</v>
      </c>
      <c r="O38" s="600"/>
    </row>
    <row r="39" spans="1:15" s="9" customFormat="1" x14ac:dyDescent="0.25">
      <c r="A39" s="490" t="s">
        <v>625</v>
      </c>
      <c r="B39" s="491">
        <f>'SPORTS AND RECREATION'!G9</f>
        <v>954891.9375</v>
      </c>
      <c r="C39" s="491">
        <f>'SPORTS AND RECREATION'!G16</f>
        <v>187611.4375</v>
      </c>
      <c r="D39" s="491">
        <v>0</v>
      </c>
      <c r="E39" s="491">
        <v>0</v>
      </c>
      <c r="F39" s="491">
        <v>0</v>
      </c>
      <c r="G39" s="491">
        <v>0</v>
      </c>
      <c r="H39" s="491">
        <v>0</v>
      </c>
      <c r="I39" s="491">
        <f>'SPORTS AND RECREATION'!G36</f>
        <v>737878.9375</v>
      </c>
      <c r="J39" s="491"/>
      <c r="K39" s="491"/>
      <c r="L39" s="491">
        <f t="shared" si="0"/>
        <v>1880382.3125</v>
      </c>
      <c r="M39" s="491">
        <f>'SPORTS AND RECREATION'!H38</f>
        <v>5546127.7320312504</v>
      </c>
      <c r="N39" s="492">
        <f>'SPORTS AND RECREATION'!I38</f>
        <v>5816152.5128832031</v>
      </c>
      <c r="O39" s="600"/>
    </row>
    <row r="40" spans="1:15" s="9" customFormat="1" x14ac:dyDescent="0.25">
      <c r="A40" s="490" t="s">
        <v>110</v>
      </c>
      <c r="B40" s="491">
        <f>DISABILITY!G9</f>
        <v>747635.3125</v>
      </c>
      <c r="C40" s="491">
        <f>DISABILITY!G16</f>
        <v>177737.625</v>
      </c>
      <c r="D40" s="491">
        <v>0</v>
      </c>
      <c r="E40" s="491">
        <v>0</v>
      </c>
      <c r="F40" s="491">
        <v>0</v>
      </c>
      <c r="G40" s="491">
        <v>0</v>
      </c>
      <c r="H40" s="491">
        <v>0</v>
      </c>
      <c r="I40" s="491">
        <f>DISABILITY!G23</f>
        <v>238704.1875</v>
      </c>
      <c r="J40" s="491">
        <v>0</v>
      </c>
      <c r="K40" s="491">
        <v>0</v>
      </c>
      <c r="L40" s="491">
        <f t="shared" si="0"/>
        <v>1164077.125</v>
      </c>
      <c r="M40" s="491">
        <f>DISABILITY!H25</f>
        <v>1683790.7953125001</v>
      </c>
      <c r="N40" s="492">
        <f>DISABILITY!I25</f>
        <v>1792502.7419195313</v>
      </c>
      <c r="O40" s="600"/>
    </row>
    <row r="41" spans="1:15" s="9" customFormat="1" x14ac:dyDescent="0.25">
      <c r="A41" s="490" t="s">
        <v>111</v>
      </c>
      <c r="B41" s="491">
        <f>GENDER!G9</f>
        <v>737635.3125</v>
      </c>
      <c r="C41" s="491">
        <f>GENDER!G16</f>
        <v>177737.625</v>
      </c>
      <c r="D41" s="491">
        <v>0</v>
      </c>
      <c r="E41" s="491">
        <v>0</v>
      </c>
      <c r="F41" s="491">
        <v>0</v>
      </c>
      <c r="G41" s="491">
        <v>0</v>
      </c>
      <c r="H41" s="491">
        <v>0</v>
      </c>
      <c r="I41" s="491">
        <f>GENDER!G31</f>
        <v>439704.1875</v>
      </c>
      <c r="J41" s="491">
        <v>0</v>
      </c>
      <c r="K41" s="491">
        <v>0</v>
      </c>
      <c r="L41" s="491">
        <f t="shared" si="0"/>
        <v>1355077.125</v>
      </c>
      <c r="M41" s="491">
        <f>GENDER!H33</f>
        <v>1991665.7953125001</v>
      </c>
      <c r="N41" s="492">
        <f>GENDER!I33</f>
        <v>2258119.9294195315</v>
      </c>
      <c r="O41" s="600"/>
    </row>
    <row r="42" spans="1:15" s="9" customFormat="1" x14ac:dyDescent="0.25">
      <c r="A42" s="490" t="s">
        <v>112</v>
      </c>
      <c r="B42" s="491">
        <f>YOUTH!G9</f>
        <v>731447.3125</v>
      </c>
      <c r="C42" s="491">
        <f>YOUTH!G16</f>
        <v>138737.625</v>
      </c>
      <c r="D42" s="491">
        <v>0</v>
      </c>
      <c r="E42" s="491">
        <v>0</v>
      </c>
      <c r="F42" s="491">
        <v>0</v>
      </c>
      <c r="G42" s="491">
        <v>0</v>
      </c>
      <c r="H42" s="491">
        <v>0</v>
      </c>
      <c r="I42" s="491">
        <f>YOUTH!G28</f>
        <v>1410560.4375</v>
      </c>
      <c r="J42" s="491">
        <v>0</v>
      </c>
      <c r="K42" s="491">
        <v>0</v>
      </c>
      <c r="L42" s="491">
        <f t="shared" si="0"/>
        <v>2280745.375</v>
      </c>
      <c r="M42" s="491">
        <f>YOUTH!H30</f>
        <v>3083263.0609375001</v>
      </c>
      <c r="N42" s="492">
        <f>YOUTH!I30</f>
        <v>3589442.024146094</v>
      </c>
      <c r="O42" s="600"/>
    </row>
    <row r="43" spans="1:15" x14ac:dyDescent="0.25">
      <c r="A43" s="494" t="s">
        <v>128</v>
      </c>
      <c r="B43" s="495">
        <f>PMU!G9</f>
        <v>7386746.6674999995</v>
      </c>
      <c r="C43" s="495">
        <f>PMU!G16</f>
        <v>1364298.1875</v>
      </c>
      <c r="D43" s="495">
        <f>PMU!G19</f>
        <v>2097.375</v>
      </c>
      <c r="E43" s="491">
        <v>0</v>
      </c>
      <c r="F43" s="491">
        <v>0</v>
      </c>
      <c r="G43" s="491">
        <f>PMU!G26</f>
        <v>12600000</v>
      </c>
      <c r="H43" s="491">
        <v>0</v>
      </c>
      <c r="I43" s="495">
        <f>PMU!G27-G43</f>
        <v>1403280.7225000001</v>
      </c>
      <c r="J43" s="491">
        <f>'PMU CAPITAL'!F13</f>
        <v>4880000</v>
      </c>
      <c r="K43" s="491">
        <f>'PMU PROJECTS'!G30</f>
        <v>569013550.14100003</v>
      </c>
      <c r="L43" s="491">
        <f t="shared" si="0"/>
        <v>596649973.09350002</v>
      </c>
      <c r="M43" s="491">
        <f>PMU!H31</f>
        <v>25575065.57453125</v>
      </c>
      <c r="N43" s="492">
        <f>PMU!I31</f>
        <v>27173507.17293945</v>
      </c>
    </row>
    <row r="44" spans="1:15" x14ac:dyDescent="0.25">
      <c r="A44" s="494" t="s">
        <v>321</v>
      </c>
      <c r="B44" s="495">
        <f>'LULEKANI SEWAGE WORKS'!C9</f>
        <v>0</v>
      </c>
      <c r="C44" s="495">
        <v>0</v>
      </c>
      <c r="D44" s="495">
        <v>0</v>
      </c>
      <c r="E44" s="491">
        <v>0</v>
      </c>
      <c r="F44" s="491">
        <f>'LULEKANI SEWAGE WORKS'!G19</f>
        <v>127500</v>
      </c>
      <c r="G44" s="491">
        <v>0</v>
      </c>
      <c r="H44" s="495">
        <v>0</v>
      </c>
      <c r="I44" s="495">
        <f>'LULEKANI SEWAGE WORKS'!G24</f>
        <v>0</v>
      </c>
      <c r="J44" s="491">
        <v>0</v>
      </c>
      <c r="K44" s="491">
        <v>0</v>
      </c>
      <c r="L44" s="491">
        <f t="shared" si="0"/>
        <v>127500</v>
      </c>
      <c r="M44" s="491">
        <f>'LULEKANI SEWAGE WORKS'!H26</f>
        <v>135468.75</v>
      </c>
      <c r="N44" s="492">
        <f>'LULEKANI SEWAGE WORKS'!I26</f>
        <v>143935.546875</v>
      </c>
    </row>
    <row r="45" spans="1:15" x14ac:dyDescent="0.25">
      <c r="A45" s="494" t="s">
        <v>322</v>
      </c>
      <c r="B45" s="495">
        <f>'NAMAKGALE SEWAGE WORKS'!C9</f>
        <v>0</v>
      </c>
      <c r="C45" s="495">
        <v>0</v>
      </c>
      <c r="D45" s="495">
        <v>0</v>
      </c>
      <c r="E45" s="491">
        <v>0</v>
      </c>
      <c r="F45" s="491">
        <f>'NAMAKGALE SEWAGE WORKS'!G20</f>
        <v>0</v>
      </c>
      <c r="G45" s="491">
        <v>0</v>
      </c>
      <c r="H45" s="495">
        <v>0</v>
      </c>
      <c r="I45" s="495">
        <v>0</v>
      </c>
      <c r="J45" s="491">
        <v>0</v>
      </c>
      <c r="K45" s="491">
        <v>0</v>
      </c>
      <c r="L45" s="491">
        <f t="shared" si="0"/>
        <v>0</v>
      </c>
      <c r="M45" s="491">
        <f>'NAMAKGALE SEWAGE WORKS'!H22</f>
        <v>112890.625</v>
      </c>
      <c r="N45" s="492">
        <f>'NAMAKGALE SEWAGE WORKS'!I22</f>
        <v>119946.2890625</v>
      </c>
    </row>
    <row r="46" spans="1:15" x14ac:dyDescent="0.25">
      <c r="A46" s="494" t="s">
        <v>323</v>
      </c>
      <c r="B46" s="495">
        <f>'NONDWENI WATER WORKS'!C9</f>
        <v>0</v>
      </c>
      <c r="C46" s="495">
        <v>0</v>
      </c>
      <c r="D46" s="495">
        <v>0</v>
      </c>
      <c r="E46" s="491">
        <v>0</v>
      </c>
      <c r="F46" s="491">
        <f>'NONDWENI WATER WORKS'!G20</f>
        <v>0</v>
      </c>
      <c r="G46" s="491">
        <v>0</v>
      </c>
      <c r="H46" s="495">
        <v>0</v>
      </c>
      <c r="I46" s="495">
        <v>0</v>
      </c>
      <c r="J46" s="491">
        <v>0</v>
      </c>
      <c r="K46" s="491">
        <v>0</v>
      </c>
      <c r="L46" s="491">
        <f t="shared" si="0"/>
        <v>0</v>
      </c>
      <c r="M46" s="491">
        <f>'NONDWENI WATER WORKS'!H27</f>
        <v>126437.5</v>
      </c>
      <c r="N46" s="492">
        <f>'NONDWENI WATER WORKS'!I27</f>
        <v>134339.84375</v>
      </c>
    </row>
    <row r="47" spans="1:15" x14ac:dyDescent="0.25">
      <c r="A47" s="494" t="s">
        <v>324</v>
      </c>
      <c r="B47" s="495">
        <f>'GIYANI WATER WORKS'!C9</f>
        <v>0</v>
      </c>
      <c r="C47" s="495">
        <v>0</v>
      </c>
      <c r="D47" s="495">
        <v>0</v>
      </c>
      <c r="E47" s="491">
        <v>0</v>
      </c>
      <c r="F47" s="491">
        <f>'GIYANI WATER WORKS'!G20</f>
        <v>2550</v>
      </c>
      <c r="G47" s="491">
        <v>0</v>
      </c>
      <c r="H47" s="495">
        <v>0</v>
      </c>
      <c r="I47" s="495">
        <v>0</v>
      </c>
      <c r="J47" s="491">
        <v>0</v>
      </c>
      <c r="K47" s="491">
        <v>0</v>
      </c>
      <c r="L47" s="491">
        <f t="shared" si="0"/>
        <v>2550</v>
      </c>
      <c r="M47" s="491">
        <f>'GIYANI WATER WORKS'!H26</f>
        <v>135468.75</v>
      </c>
      <c r="N47" s="492">
        <f>'GIYANI WATER WORKS'!I26</f>
        <v>143935.546875</v>
      </c>
    </row>
    <row r="48" spans="1:15" x14ac:dyDescent="0.25">
      <c r="A48" s="494" t="s">
        <v>325</v>
      </c>
      <c r="B48" s="495">
        <f>'MAPUVE WATER WORKS'!C9</f>
        <v>0</v>
      </c>
      <c r="C48" s="495">
        <v>0</v>
      </c>
      <c r="D48" s="495">
        <v>0</v>
      </c>
      <c r="E48" s="491">
        <v>0</v>
      </c>
      <c r="F48" s="491">
        <f>'MAPUVE WATER WORKS'!G19</f>
        <v>0</v>
      </c>
      <c r="G48" s="491">
        <v>0</v>
      </c>
      <c r="H48" s="495">
        <v>0</v>
      </c>
      <c r="I48" s="495">
        <v>0</v>
      </c>
      <c r="J48" s="491">
        <v>0</v>
      </c>
      <c r="K48" s="491">
        <v>0</v>
      </c>
      <c r="L48" s="491">
        <f t="shared" si="0"/>
        <v>0</v>
      </c>
      <c r="M48" s="491">
        <f>'MAPUVE WATER WORKS'!H27</f>
        <v>112890.625</v>
      </c>
      <c r="N48" s="492">
        <f>'MAPUVE WATER WORKS'!I27</f>
        <v>119946.2890625</v>
      </c>
    </row>
    <row r="49" spans="1:15" x14ac:dyDescent="0.25">
      <c r="A49" s="494" t="s">
        <v>326</v>
      </c>
      <c r="B49" s="495">
        <f>'MIDDLE LETABA WATER WORKS'!C9</f>
        <v>0</v>
      </c>
      <c r="C49" s="495">
        <f>'MIDDLE LETABA WATER WORKS'!B16</f>
        <v>0</v>
      </c>
      <c r="D49" s="495">
        <v>0</v>
      </c>
      <c r="E49" s="491">
        <v>0</v>
      </c>
      <c r="F49" s="491">
        <f>'MIDDLE LETABA WATER WORKS'!G19</f>
        <v>0</v>
      </c>
      <c r="G49" s="491">
        <v>0</v>
      </c>
      <c r="H49" s="495">
        <v>0</v>
      </c>
      <c r="I49" s="495">
        <v>0</v>
      </c>
      <c r="J49" s="491">
        <v>0</v>
      </c>
      <c r="K49" s="491">
        <v>0</v>
      </c>
      <c r="L49" s="491">
        <f t="shared" si="0"/>
        <v>0</v>
      </c>
      <c r="M49" s="491">
        <f>'MIDDLE LETABA WATER WORKS'!H26</f>
        <v>211105.46875</v>
      </c>
      <c r="N49" s="492">
        <f>'MIDDLE LETABA WATER WORKS'!I26</f>
        <v>224299.560546875</v>
      </c>
    </row>
    <row r="50" spans="1:15" x14ac:dyDescent="0.25">
      <c r="A50" s="494" t="s">
        <v>328</v>
      </c>
      <c r="B50" s="495">
        <f>'MUYEXE WATER WORKS'!B9</f>
        <v>0</v>
      </c>
      <c r="C50" s="495">
        <f>'MUYEXE WATER WORKS'!B16</f>
        <v>0</v>
      </c>
      <c r="D50" s="495">
        <v>0</v>
      </c>
      <c r="E50" s="491">
        <v>0</v>
      </c>
      <c r="F50" s="491">
        <f>'MUYEXE WATER WORKS'!G19</f>
        <v>0</v>
      </c>
      <c r="G50" s="491">
        <v>0</v>
      </c>
      <c r="H50" s="495">
        <v>0</v>
      </c>
      <c r="I50" s="495">
        <v>0</v>
      </c>
      <c r="J50" s="491">
        <v>0</v>
      </c>
      <c r="K50" s="491">
        <v>0</v>
      </c>
      <c r="L50" s="491">
        <f t="shared" si="0"/>
        <v>0</v>
      </c>
      <c r="M50" s="491">
        <f>'MUYEXE WATER WORKS'!H26</f>
        <v>67734.375</v>
      </c>
      <c r="N50" s="492">
        <f>'MUYEXE WATER WORKS'!I26</f>
        <v>71967.7734375</v>
      </c>
    </row>
    <row r="51" spans="1:15" x14ac:dyDescent="0.25">
      <c r="A51" s="494" t="s">
        <v>329</v>
      </c>
      <c r="B51" s="495">
        <f>'GIYANI SEWAGE WORKS'!B9</f>
        <v>0</v>
      </c>
      <c r="C51" s="495">
        <f>'GIYANI SEWAGE WORKS'!B16</f>
        <v>0</v>
      </c>
      <c r="D51" s="495">
        <v>0</v>
      </c>
      <c r="E51" s="491">
        <v>0</v>
      </c>
      <c r="F51" s="491">
        <f>'GIYANI SEWAGE WORKS'!G19</f>
        <v>0</v>
      </c>
      <c r="G51" s="491">
        <v>0</v>
      </c>
      <c r="H51" s="495">
        <v>0</v>
      </c>
      <c r="I51" s="495">
        <v>0</v>
      </c>
      <c r="J51" s="491">
        <v>0</v>
      </c>
      <c r="K51" s="491">
        <v>0</v>
      </c>
      <c r="L51" s="491">
        <f t="shared" si="0"/>
        <v>0</v>
      </c>
      <c r="M51" s="491">
        <f>'GIYANI SEWAGE WORKS'!H21</f>
        <v>146757.8125</v>
      </c>
      <c r="N51" s="492">
        <f>'GIYANI SEWAGE WORKS'!I21</f>
        <v>155930.17578125</v>
      </c>
    </row>
    <row r="52" spans="1:15" x14ac:dyDescent="0.25">
      <c r="A52" s="494" t="s">
        <v>330</v>
      </c>
      <c r="B52" s="495">
        <f>'IK PONDS'!B9</f>
        <v>0</v>
      </c>
      <c r="C52" s="495">
        <f>'IK PONDS'!B16</f>
        <v>0</v>
      </c>
      <c r="D52" s="495">
        <v>0</v>
      </c>
      <c r="E52" s="491">
        <v>0</v>
      </c>
      <c r="F52" s="491">
        <f>'IK PONDS'!G19</f>
        <v>0</v>
      </c>
      <c r="G52" s="491">
        <v>0</v>
      </c>
      <c r="H52" s="495">
        <v>0</v>
      </c>
      <c r="I52" s="495">
        <v>0</v>
      </c>
      <c r="J52" s="491">
        <v>0</v>
      </c>
      <c r="K52" s="491">
        <v>0</v>
      </c>
      <c r="L52" s="491">
        <f t="shared" si="0"/>
        <v>0</v>
      </c>
      <c r="M52" s="491">
        <f>'IK PONDS'!H21</f>
        <v>33867.1875</v>
      </c>
      <c r="N52" s="492">
        <f>'IK PONDS'!I21</f>
        <v>35983.88671875</v>
      </c>
    </row>
    <row r="53" spans="1:15" x14ac:dyDescent="0.25">
      <c r="A53" s="494" t="s">
        <v>331</v>
      </c>
      <c r="B53" s="495">
        <f>'MODJADJI WATER WORKS'!B9</f>
        <v>0</v>
      </c>
      <c r="C53" s="495">
        <f>'MODJADJI WATER WORKS'!B16</f>
        <v>0</v>
      </c>
      <c r="D53" s="495">
        <v>0</v>
      </c>
      <c r="E53" s="491">
        <v>0</v>
      </c>
      <c r="F53" s="491">
        <f>'MODJADJI WATER WORKS'!G19</f>
        <v>0</v>
      </c>
      <c r="G53" s="491">
        <v>0</v>
      </c>
      <c r="H53" s="495">
        <v>0</v>
      </c>
      <c r="I53" s="495">
        <v>0</v>
      </c>
      <c r="J53" s="491">
        <v>0</v>
      </c>
      <c r="K53" s="491">
        <v>0</v>
      </c>
      <c r="L53" s="491">
        <f t="shared" si="0"/>
        <v>0</v>
      </c>
      <c r="M53" s="491">
        <f>'MODJADJI WATER WORKS'!H23</f>
        <v>1434375</v>
      </c>
      <c r="N53" s="492">
        <f>'MODJADJI WATER WORKS'!I23</f>
        <v>1524023.4375</v>
      </c>
    </row>
    <row r="54" spans="1:15" x14ac:dyDescent="0.25">
      <c r="A54" s="494" t="s">
        <v>332</v>
      </c>
      <c r="B54" s="495">
        <f>'KURANTA WATER PACKAGE PLANT'!B9</f>
        <v>0</v>
      </c>
      <c r="C54" s="495">
        <f>'KURANTA WATER PACKAGE PLANT'!B16</f>
        <v>0</v>
      </c>
      <c r="D54" s="495">
        <v>0</v>
      </c>
      <c r="E54" s="491">
        <v>0</v>
      </c>
      <c r="F54" s="491">
        <f>'KURANTA WATER PACKAGE PLANT'!G19</f>
        <v>0</v>
      </c>
      <c r="G54" s="491">
        <v>0</v>
      </c>
      <c r="H54" s="495">
        <v>0</v>
      </c>
      <c r="I54" s="495">
        <v>0</v>
      </c>
      <c r="J54" s="491">
        <v>0</v>
      </c>
      <c r="K54" s="491">
        <v>0</v>
      </c>
      <c r="L54" s="491">
        <f t="shared" si="0"/>
        <v>0</v>
      </c>
      <c r="M54" s="491">
        <f>'KURANTA WATER PACKAGE PLANT'!H26</f>
        <v>56445.3125</v>
      </c>
      <c r="N54" s="492">
        <f>'KURANTA WATER PACKAGE PLANT'!I26</f>
        <v>59973.14453125</v>
      </c>
    </row>
    <row r="55" spans="1:15" x14ac:dyDescent="0.25">
      <c r="A55" s="494" t="s">
        <v>333</v>
      </c>
      <c r="B55" s="495">
        <f>'KGAPANE SEWAGE WORKS'!B9</f>
        <v>0</v>
      </c>
      <c r="C55" s="495">
        <f>'KGAPANE SEWAGE WORKS'!B16</f>
        <v>0</v>
      </c>
      <c r="D55" s="495">
        <v>0</v>
      </c>
      <c r="E55" s="491">
        <v>0</v>
      </c>
      <c r="F55" s="491">
        <f>'KGAPANE SEWAGE WORKS'!G20</f>
        <v>0</v>
      </c>
      <c r="G55" s="491">
        <v>0</v>
      </c>
      <c r="H55" s="495">
        <v>0</v>
      </c>
      <c r="I55" s="495">
        <v>0</v>
      </c>
      <c r="J55" s="491">
        <v>0</v>
      </c>
      <c r="K55" s="491">
        <v>0</v>
      </c>
      <c r="L55" s="491">
        <f t="shared" si="0"/>
        <v>0</v>
      </c>
      <c r="M55" s="491">
        <f>'KGAPANE SEWAGE WORKS'!H26</f>
        <v>304804.6875</v>
      </c>
      <c r="N55" s="492">
        <f>'KGAPANE SEWAGE WORKS'!I26</f>
        <v>323854.98046875</v>
      </c>
    </row>
    <row r="56" spans="1:15" x14ac:dyDescent="0.25">
      <c r="A56" s="494" t="s">
        <v>334</v>
      </c>
      <c r="B56" s="495">
        <f>'SENWAMOKGOPE SEWAGE WORKS'!B9</f>
        <v>0</v>
      </c>
      <c r="C56" s="495">
        <f>'SENWAMOKGOPE SEWAGE WORKS'!B16</f>
        <v>0</v>
      </c>
      <c r="D56" s="495">
        <v>0</v>
      </c>
      <c r="E56" s="491">
        <v>0</v>
      </c>
      <c r="F56" s="491">
        <f>'SENWAMOKGOPE SEWAGE WORKS'!G19</f>
        <v>0</v>
      </c>
      <c r="G56" s="491">
        <v>0</v>
      </c>
      <c r="H56" s="495">
        <v>0</v>
      </c>
      <c r="I56" s="495">
        <v>0</v>
      </c>
      <c r="J56" s="491">
        <v>0</v>
      </c>
      <c r="K56" s="491">
        <v>0</v>
      </c>
      <c r="L56" s="491">
        <f t="shared" si="0"/>
        <v>0</v>
      </c>
      <c r="M56" s="491">
        <f>'SENWAMOKGOPE SEWAGE WORKS'!H26</f>
        <v>56445.3125</v>
      </c>
      <c r="N56" s="492">
        <f>'SENWAMOKGOPE SEWAGE WORKS'!I21</f>
        <v>59973.14453125</v>
      </c>
    </row>
    <row r="57" spans="1:15" x14ac:dyDescent="0.25">
      <c r="A57" s="494" t="s">
        <v>335</v>
      </c>
      <c r="B57" s="495">
        <f>'NKAMBAKO WATER WORKS'!B9</f>
        <v>0</v>
      </c>
      <c r="C57" s="495">
        <f>'NKAMBAKO WATER WORKS'!B16</f>
        <v>0</v>
      </c>
      <c r="D57" s="495">
        <v>0</v>
      </c>
      <c r="E57" s="491">
        <v>0</v>
      </c>
      <c r="F57" s="491">
        <f>'NKAMBAKO WATER WORKS'!G20</f>
        <v>0</v>
      </c>
      <c r="G57" s="491">
        <v>0</v>
      </c>
      <c r="H57" s="495">
        <v>0</v>
      </c>
      <c r="I57" s="495">
        <v>0</v>
      </c>
      <c r="J57" s="491">
        <v>0</v>
      </c>
      <c r="K57" s="491">
        <v>0</v>
      </c>
      <c r="L57" s="491">
        <f t="shared" si="0"/>
        <v>0</v>
      </c>
      <c r="M57" s="491">
        <f>'NKAMBAKO WATER WORKS'!H27</f>
        <v>33867.1875</v>
      </c>
      <c r="N57" s="492">
        <f>'NKAMBAKO WATER WORKS'!I27</f>
        <v>35983.88671875</v>
      </c>
    </row>
    <row r="58" spans="1:15" x14ac:dyDescent="0.25">
      <c r="A58" s="494" t="s">
        <v>336</v>
      </c>
      <c r="B58" s="495">
        <f>'THAPANE WATER WORKS'!B9</f>
        <v>0</v>
      </c>
      <c r="C58" s="495">
        <f>'THAPANE WATER WORKS'!B16</f>
        <v>0</v>
      </c>
      <c r="D58" s="495">
        <v>0</v>
      </c>
      <c r="E58" s="491">
        <v>0</v>
      </c>
      <c r="F58" s="491">
        <f>'THAPANE WATER WORKS'!G20</f>
        <v>0</v>
      </c>
      <c r="G58" s="491">
        <v>0</v>
      </c>
      <c r="H58" s="495">
        <v>0</v>
      </c>
      <c r="I58" s="495">
        <v>0</v>
      </c>
      <c r="J58" s="491">
        <v>0</v>
      </c>
      <c r="K58" s="491">
        <v>0</v>
      </c>
      <c r="L58" s="491">
        <f t="shared" si="0"/>
        <v>0</v>
      </c>
      <c r="M58" s="491">
        <f>'THAPANE WATER WORKS'!H28</f>
        <v>33867.1875</v>
      </c>
      <c r="N58" s="492">
        <f>'THAPANE WATER WORKS'!I28</f>
        <v>35983.88671875</v>
      </c>
    </row>
    <row r="59" spans="1:15" x14ac:dyDescent="0.25">
      <c r="A59" s="494" t="s">
        <v>337</v>
      </c>
      <c r="B59" s="495">
        <f>'THABINA WATER WORKS'!B9</f>
        <v>0</v>
      </c>
      <c r="C59" s="495">
        <f>'THABINA WATER WORKS'!B16</f>
        <v>0</v>
      </c>
      <c r="D59" s="495">
        <v>0</v>
      </c>
      <c r="E59" s="491">
        <v>0</v>
      </c>
      <c r="F59" s="491">
        <f>'THABINA WATER WORKS'!G20</f>
        <v>0</v>
      </c>
      <c r="G59" s="491">
        <v>0</v>
      </c>
      <c r="H59" s="495">
        <v>0</v>
      </c>
      <c r="I59" s="495">
        <v>0</v>
      </c>
      <c r="J59" s="491">
        <v>0</v>
      </c>
      <c r="K59" s="491">
        <v>0</v>
      </c>
      <c r="L59" s="491">
        <f t="shared" si="0"/>
        <v>0</v>
      </c>
      <c r="M59" s="491">
        <f>'THABINA WATER WORKS'!H27</f>
        <v>79023.4375</v>
      </c>
      <c r="N59" s="492">
        <f>'THABINA WATER WORKS'!I27</f>
        <v>83962.40234375</v>
      </c>
    </row>
    <row r="60" spans="1:15" x14ac:dyDescent="0.25">
      <c r="A60" s="494" t="s">
        <v>338</v>
      </c>
      <c r="B60" s="495">
        <f>'TOURS WATER WORKS'!B9</f>
        <v>0</v>
      </c>
      <c r="C60" s="495">
        <f>'TOURS WATER WORKS'!B16</f>
        <v>0</v>
      </c>
      <c r="D60" s="495">
        <v>0</v>
      </c>
      <c r="E60" s="491">
        <v>0</v>
      </c>
      <c r="F60" s="491">
        <f>'TOURS WATER WORKS'!G20</f>
        <v>0</v>
      </c>
      <c r="G60" s="491">
        <v>0</v>
      </c>
      <c r="H60" s="495">
        <v>0</v>
      </c>
      <c r="I60" s="495">
        <v>0</v>
      </c>
      <c r="J60" s="491">
        <v>0</v>
      </c>
      <c r="K60" s="491">
        <v>0</v>
      </c>
      <c r="L60" s="491">
        <f t="shared" si="0"/>
        <v>0</v>
      </c>
      <c r="M60" s="491">
        <f>'TOURS WATER WORKS'!H27</f>
        <v>135468.75</v>
      </c>
      <c r="N60" s="492">
        <f>'TOURS WATER WORKS'!I27</f>
        <v>143935.546875</v>
      </c>
      <c r="O60" s="599">
        <f>SUM(L3:L72)</f>
        <v>2109618205.6172504</v>
      </c>
    </row>
    <row r="61" spans="1:15" x14ac:dyDescent="0.25">
      <c r="A61" s="494" t="s">
        <v>339</v>
      </c>
      <c r="B61" s="495">
        <v>0</v>
      </c>
      <c r="C61" s="495">
        <v>0</v>
      </c>
      <c r="D61" s="495">
        <v>0</v>
      </c>
      <c r="E61" s="491">
        <v>0</v>
      </c>
      <c r="F61" s="491">
        <f>'SEMARELA WATER WORKS'!G19</f>
        <v>0</v>
      </c>
      <c r="G61" s="491">
        <v>0</v>
      </c>
      <c r="H61" s="495">
        <v>0</v>
      </c>
      <c r="I61" s="495">
        <v>0</v>
      </c>
      <c r="J61" s="491">
        <v>0</v>
      </c>
      <c r="K61" s="491">
        <v>0</v>
      </c>
      <c r="L61" s="491">
        <f t="shared" si="0"/>
        <v>0</v>
      </c>
      <c r="M61" s="491">
        <f>'SEMARELA WATER WORKS'!H25</f>
        <v>783912.5</v>
      </c>
      <c r="N61" s="492">
        <f>'SEMARELA WATER WORKS'!I25</f>
        <v>832907.03125</v>
      </c>
      <c r="O61" s="599">
        <f>SUM(M3:M72)</f>
        <v>1244158541.2279527</v>
      </c>
    </row>
    <row r="62" spans="1:15" x14ac:dyDescent="0.25">
      <c r="A62" s="494" t="s">
        <v>340</v>
      </c>
      <c r="B62" s="495">
        <v>0</v>
      </c>
      <c r="C62" s="495">
        <v>0</v>
      </c>
      <c r="D62" s="495">
        <v>0</v>
      </c>
      <c r="E62" s="491">
        <v>0</v>
      </c>
      <c r="F62" s="491">
        <f>'NKOWANKOWA WATER WORKS'!G20</f>
        <v>21250</v>
      </c>
      <c r="G62" s="491">
        <v>0</v>
      </c>
      <c r="H62" s="495">
        <v>0</v>
      </c>
      <c r="I62" s="495">
        <v>0</v>
      </c>
      <c r="J62" s="491">
        <v>0</v>
      </c>
      <c r="K62" s="491">
        <v>0</v>
      </c>
      <c r="L62" s="491">
        <f t="shared" si="0"/>
        <v>21250</v>
      </c>
      <c r="M62" s="491">
        <f>'NKOWANKOWA WATER WORKS'!H27</f>
        <v>1403828.125</v>
      </c>
      <c r="N62" s="492">
        <f>'NKOWANKOWA WATER WORKS'!I27</f>
        <v>1491567.3828125</v>
      </c>
      <c r="O62" s="599">
        <f>SUM(N3:N72)</f>
        <v>1326020059.6230054</v>
      </c>
    </row>
    <row r="63" spans="1:15" x14ac:dyDescent="0.25">
      <c r="A63" s="494" t="s">
        <v>354</v>
      </c>
      <c r="B63" s="495">
        <v>0</v>
      </c>
      <c r="C63" s="495">
        <v>0</v>
      </c>
      <c r="D63" s="495">
        <v>0</v>
      </c>
      <c r="E63" s="491">
        <v>0</v>
      </c>
      <c r="F63" s="491">
        <f>'LENYENYE PONDS'!G19</f>
        <v>0</v>
      </c>
      <c r="G63" s="491">
        <v>0</v>
      </c>
      <c r="H63" s="495">
        <v>0</v>
      </c>
      <c r="I63" s="495">
        <v>0</v>
      </c>
      <c r="J63" s="491">
        <v>0</v>
      </c>
      <c r="K63" s="491">
        <v>0</v>
      </c>
      <c r="L63" s="491">
        <f t="shared" si="0"/>
        <v>0</v>
      </c>
      <c r="M63" s="491">
        <f>'LENYENYE PONDS'!H26</f>
        <v>56445.3125</v>
      </c>
      <c r="N63" s="492">
        <f>'LENYENYE PONDS'!I26</f>
        <v>59973.14453125</v>
      </c>
    </row>
    <row r="64" spans="1:15" x14ac:dyDescent="0.25">
      <c r="A64" s="494" t="s">
        <v>355</v>
      </c>
      <c r="B64" s="495">
        <f>'NKOWANKOWA WATER WORKS'!B9</f>
        <v>0</v>
      </c>
      <c r="C64" s="495">
        <v>0</v>
      </c>
      <c r="D64" s="495">
        <v>0</v>
      </c>
      <c r="E64" s="491">
        <v>0</v>
      </c>
      <c r="F64" s="491">
        <f>'NKOWANKOWA SEWAGE WORKS'!G19</f>
        <v>0</v>
      </c>
      <c r="G64" s="491">
        <v>0</v>
      </c>
      <c r="H64" s="495">
        <v>0</v>
      </c>
      <c r="I64" s="495">
        <v>0</v>
      </c>
      <c r="J64" s="491">
        <v>0</v>
      </c>
      <c r="K64" s="491">
        <v>0</v>
      </c>
      <c r="L64" s="491">
        <f t="shared" si="0"/>
        <v>0</v>
      </c>
      <c r="M64" s="491">
        <f>'NKOWANKOWA SEWAGE WORKS'!H25</f>
        <v>56445.3125</v>
      </c>
      <c r="N64" s="492">
        <f>'NKOWANKOWA SEWAGE WORKS'!I25</f>
        <v>59973.14453125</v>
      </c>
    </row>
    <row r="65" spans="1:15" x14ac:dyDescent="0.25">
      <c r="A65" s="494" t="s">
        <v>341</v>
      </c>
      <c r="B65" s="495">
        <f>'THE OAKS WATER WORKS'!B9</f>
        <v>0</v>
      </c>
      <c r="C65" s="495">
        <v>0</v>
      </c>
      <c r="D65" s="495">
        <v>0</v>
      </c>
      <c r="E65" s="491">
        <v>0</v>
      </c>
      <c r="F65" s="491">
        <f>'THE OAKS WATER WORKS'!G20</f>
        <v>0</v>
      </c>
      <c r="G65" s="491">
        <v>0</v>
      </c>
      <c r="H65" s="495">
        <v>0</v>
      </c>
      <c r="I65" s="495">
        <v>0</v>
      </c>
      <c r="J65" s="491">
        <v>0</v>
      </c>
      <c r="K65" s="491">
        <v>0</v>
      </c>
      <c r="L65" s="491">
        <f t="shared" si="0"/>
        <v>0</v>
      </c>
      <c r="M65" s="491">
        <f>'THE OAKS WATER WORKS'!H28</f>
        <v>135468.75</v>
      </c>
      <c r="N65" s="492">
        <f>'THE OAKS WATER WORKS'!I28</f>
        <v>143935.546875</v>
      </c>
    </row>
    <row r="66" spans="1:15" x14ac:dyDescent="0.25">
      <c r="A66" s="494" t="s">
        <v>342</v>
      </c>
      <c r="B66" s="495">
        <f>'FINALE WATER WORKS'!B9</f>
        <v>0</v>
      </c>
      <c r="C66" s="495">
        <v>0</v>
      </c>
      <c r="D66" s="495">
        <v>0</v>
      </c>
      <c r="E66" s="491">
        <v>0</v>
      </c>
      <c r="F66" s="491">
        <f>'FINALE WATER WORKS'!G19</f>
        <v>0</v>
      </c>
      <c r="G66" s="491">
        <v>0</v>
      </c>
      <c r="H66" s="495">
        <v>0</v>
      </c>
      <c r="I66" s="495">
        <v>0</v>
      </c>
      <c r="J66" s="491">
        <v>0</v>
      </c>
      <c r="K66" s="491">
        <v>0</v>
      </c>
      <c r="L66" s="491">
        <f t="shared" si="0"/>
        <v>0</v>
      </c>
      <c r="M66" s="491">
        <f>'FINALE WATER WORKS'!H25</f>
        <v>56445.3125</v>
      </c>
      <c r="N66" s="492">
        <f>'FINALE WATER WORKS'!I25</f>
        <v>59973.14453125</v>
      </c>
    </row>
    <row r="67" spans="1:15" x14ac:dyDescent="0.25">
      <c r="A67" s="494" t="s">
        <v>343</v>
      </c>
      <c r="B67" s="495">
        <f>'SEKORORO WATER WORKS'!E8</f>
        <v>0</v>
      </c>
      <c r="C67" s="495">
        <v>0</v>
      </c>
      <c r="D67" s="495">
        <v>0</v>
      </c>
      <c r="E67" s="491">
        <v>0</v>
      </c>
      <c r="F67" s="491">
        <f>'MAMETJA SEKORORO SCHEME'!G20</f>
        <v>0</v>
      </c>
      <c r="G67" s="491">
        <v>0</v>
      </c>
      <c r="H67" s="495">
        <v>0</v>
      </c>
      <c r="I67" s="495">
        <v>0</v>
      </c>
      <c r="J67" s="491">
        <v>0</v>
      </c>
      <c r="K67" s="491">
        <v>0</v>
      </c>
      <c r="L67" s="491">
        <f t="shared" si="0"/>
        <v>0</v>
      </c>
      <c r="M67" s="491">
        <f>'MAMETJA SEKORORO SCHEME'!H28</f>
        <v>180625</v>
      </c>
      <c r="N67" s="492">
        <f>'MAMETJA SEKORORO SCHEME'!I28</f>
        <v>191914.0625</v>
      </c>
    </row>
    <row r="68" spans="1:15" x14ac:dyDescent="0.25">
      <c r="A68" s="494" t="s">
        <v>345</v>
      </c>
      <c r="B68" s="495">
        <f>'WATER QUALITY'!B9</f>
        <v>0</v>
      </c>
      <c r="C68" s="495">
        <v>0</v>
      </c>
      <c r="D68" s="495">
        <v>0</v>
      </c>
      <c r="E68" s="491">
        <v>0</v>
      </c>
      <c r="F68" s="491"/>
      <c r="G68" s="491">
        <v>0</v>
      </c>
      <c r="H68" s="495">
        <v>0</v>
      </c>
      <c r="I68" s="495">
        <f>'WATER QUALITY'!G23</f>
        <v>0</v>
      </c>
      <c r="J68" s="491">
        <v>0</v>
      </c>
      <c r="K68" s="491">
        <v>0</v>
      </c>
      <c r="L68" s="491">
        <f t="shared" ref="L68:L81" si="1">SUM(B68:K68)</f>
        <v>0</v>
      </c>
      <c r="M68" s="491">
        <f>'WATER QUALITY'!H25</f>
        <v>56445.3125</v>
      </c>
      <c r="N68" s="492">
        <f>'WATER QUALITY'!I25</f>
        <v>59973.14453125</v>
      </c>
    </row>
    <row r="69" spans="1:15" x14ac:dyDescent="0.25">
      <c r="A69" s="497" t="s">
        <v>392</v>
      </c>
      <c r="B69" s="495">
        <f>'WORCESTER SCHEME'!B9</f>
        <v>0</v>
      </c>
      <c r="C69" s="495">
        <v>0</v>
      </c>
      <c r="D69" s="495">
        <v>0</v>
      </c>
      <c r="E69" s="491">
        <v>0</v>
      </c>
      <c r="F69" s="491">
        <f>'WORCESTER SCHEME'!G19</f>
        <v>0</v>
      </c>
      <c r="G69" s="491">
        <v>0</v>
      </c>
      <c r="H69" s="495">
        <v>0</v>
      </c>
      <c r="I69" s="495">
        <v>0</v>
      </c>
      <c r="J69" s="491"/>
      <c r="K69" s="491"/>
      <c r="L69" s="491">
        <f t="shared" si="1"/>
        <v>0</v>
      </c>
      <c r="M69" s="491">
        <f>'WORCESTER SCHEME'!H28</f>
        <v>33867.1875</v>
      </c>
      <c r="N69" s="492">
        <f>'WORCESTER SCHEME'!I28</f>
        <v>35983.88671875</v>
      </c>
    </row>
    <row r="70" spans="1:15" x14ac:dyDescent="0.25">
      <c r="A70" s="497" t="s">
        <v>391</v>
      </c>
      <c r="B70" s="495">
        <f>'SEKGOSESE SCHEME'!B9</f>
        <v>0</v>
      </c>
      <c r="C70" s="495">
        <v>0</v>
      </c>
      <c r="D70" s="495">
        <v>0</v>
      </c>
      <c r="E70" s="491">
        <v>0</v>
      </c>
      <c r="F70" s="491">
        <f>'SEKGOSESE SCHEME'!G19</f>
        <v>0</v>
      </c>
      <c r="G70" s="491">
        <v>0</v>
      </c>
      <c r="H70" s="495">
        <v>0</v>
      </c>
      <c r="I70" s="495">
        <v>0</v>
      </c>
      <c r="J70" s="491"/>
      <c r="K70" s="491"/>
      <c r="L70" s="491">
        <f t="shared" si="1"/>
        <v>0</v>
      </c>
      <c r="M70" s="491">
        <f>'SEKGOSESE SCHEME'!H25</f>
        <v>112890.625</v>
      </c>
      <c r="N70" s="492">
        <f>'SEKGOSESE SCHEME'!I25</f>
        <v>119946.2890625</v>
      </c>
    </row>
    <row r="71" spans="1:15" x14ac:dyDescent="0.25">
      <c r="A71" s="497" t="s">
        <v>389</v>
      </c>
      <c r="B71" s="495">
        <f>'LOWER MOLOTOTSI'!B9</f>
        <v>0</v>
      </c>
      <c r="C71" s="495">
        <v>0</v>
      </c>
      <c r="D71" s="495">
        <v>0</v>
      </c>
      <c r="E71" s="491">
        <v>0</v>
      </c>
      <c r="F71" s="491">
        <f>'LOWER MOLOTOTSI'!G20</f>
        <v>0</v>
      </c>
      <c r="G71" s="491">
        <v>0</v>
      </c>
      <c r="H71" s="495">
        <v>0</v>
      </c>
      <c r="I71" s="495">
        <v>0</v>
      </c>
      <c r="J71" s="491"/>
      <c r="K71" s="491"/>
      <c r="L71" s="491">
        <f t="shared" si="1"/>
        <v>0</v>
      </c>
      <c r="M71" s="491">
        <f>'LOWER MOLOTOTSI'!H27</f>
        <v>79023.4375</v>
      </c>
      <c r="N71" s="492">
        <f>'LOWER MOLOTOTSI'!I27</f>
        <v>83962.40234375</v>
      </c>
    </row>
    <row r="72" spans="1:15" x14ac:dyDescent="0.25">
      <c r="A72" s="497" t="s">
        <v>390</v>
      </c>
      <c r="B72" s="495">
        <f>SEKGOPO!B9</f>
        <v>0</v>
      </c>
      <c r="C72" s="495">
        <v>0</v>
      </c>
      <c r="D72" s="495">
        <v>0</v>
      </c>
      <c r="E72" s="491">
        <v>0</v>
      </c>
      <c r="F72" s="491">
        <f>SEKGOPO!G19</f>
        <v>0</v>
      </c>
      <c r="G72" s="491">
        <v>0</v>
      </c>
      <c r="H72" s="495">
        <v>0</v>
      </c>
      <c r="I72" s="495">
        <v>0</v>
      </c>
      <c r="J72" s="491"/>
      <c r="K72" s="491"/>
      <c r="L72" s="491">
        <f t="shared" si="1"/>
        <v>0</v>
      </c>
      <c r="M72" s="491">
        <f>SEKGOPO!H26</f>
        <v>112890.625</v>
      </c>
      <c r="N72" s="492">
        <f>SEKGOPO!I26</f>
        <v>119946.2890625</v>
      </c>
    </row>
    <row r="73" spans="1:15" x14ac:dyDescent="0.25">
      <c r="A73" s="494" t="s">
        <v>228</v>
      </c>
      <c r="B73" s="495">
        <f>'BA PHALABORWA WATER'!G19</f>
        <v>12563247.971562501</v>
      </c>
      <c r="C73" s="495">
        <f>'BA PHALABORWA WATER'!G27</f>
        <v>3237034.0443124999</v>
      </c>
      <c r="D73" s="495">
        <v>0</v>
      </c>
      <c r="E73" s="495">
        <f>'BA PHALABORWA WATER'!G31</f>
        <v>46214385.25</v>
      </c>
      <c r="F73" s="491">
        <f>'BA PHALABORWA WATER'!G35</f>
        <v>15551339.375</v>
      </c>
      <c r="G73" s="491">
        <f>'BA PHALABORWA WATER'!G39</f>
        <v>4648242</v>
      </c>
      <c r="H73" s="495">
        <v>0</v>
      </c>
      <c r="I73" s="495">
        <f>'BA PHALABORWA WATER'!G50</f>
        <v>6064194.5079999994</v>
      </c>
      <c r="J73" s="491"/>
      <c r="K73" s="491"/>
      <c r="L73" s="491">
        <f t="shared" si="1"/>
        <v>88278443.148874998</v>
      </c>
      <c r="M73" s="491">
        <f>'BA PHALABORWA WATER'!H52</f>
        <v>93667206.8456797</v>
      </c>
      <c r="N73" s="492">
        <f>'BA PHALABORWA WATER'!I52</f>
        <v>99385821.767534673</v>
      </c>
    </row>
    <row r="74" spans="1:15" x14ac:dyDescent="0.25">
      <c r="A74" s="494" t="s">
        <v>229</v>
      </c>
      <c r="B74" s="495">
        <f>'BA PHALABORWA SEWER'!G18</f>
        <v>3307665.9109999998</v>
      </c>
      <c r="C74" s="495">
        <f>'BA PHALABORWA SEWER'!G26</f>
        <v>722026.28862500004</v>
      </c>
      <c r="D74" s="495">
        <v>0</v>
      </c>
      <c r="E74" s="495">
        <f>'BA PHALABORWA SEWER'!G30</f>
        <v>2671982.6956874998</v>
      </c>
      <c r="F74" s="491">
        <f>'BA PHALABORWA SEWER'!G35</f>
        <v>913557.39531249995</v>
      </c>
      <c r="G74" s="491">
        <v>0</v>
      </c>
      <c r="H74" s="495">
        <v>0</v>
      </c>
      <c r="I74" s="495">
        <f>'BA PHALABORWA SEWER'!G44</f>
        <v>959199.02931250003</v>
      </c>
      <c r="J74" s="491"/>
      <c r="K74" s="491"/>
      <c r="L74" s="491">
        <f>SUM(B74:K74)</f>
        <v>8574431.3199374992</v>
      </c>
      <c r="M74" s="491">
        <f>'BA PHALABORWA SEWER'!H46</f>
        <v>4828785.3153320309</v>
      </c>
      <c r="N74" s="492">
        <f>'BA PHALABORWA SEWER'!I46</f>
        <v>5130339.3080636859</v>
      </c>
    </row>
    <row r="75" spans="1:15" x14ac:dyDescent="0.25">
      <c r="A75" s="494" t="s">
        <v>230</v>
      </c>
      <c r="B75" s="495">
        <f>'GREATER GIYANI WATER'!G18</f>
        <v>1795753.5625</v>
      </c>
      <c r="C75" s="495">
        <f>'GREATER GIYANI WATER'!G25</f>
        <v>393877.25</v>
      </c>
      <c r="D75" s="495">
        <v>0</v>
      </c>
      <c r="E75" s="495">
        <v>0</v>
      </c>
      <c r="F75" s="491">
        <f>'GREATER GIYANI WATER'!G29</f>
        <v>409638.375</v>
      </c>
      <c r="G75" s="491">
        <v>0</v>
      </c>
      <c r="H75" s="495">
        <v>0</v>
      </c>
      <c r="I75" s="495">
        <f>'GREATER GIYANI WATER'!G34</f>
        <v>335753.1875</v>
      </c>
      <c r="J75" s="491"/>
      <c r="K75" s="491"/>
      <c r="L75" s="491">
        <f t="shared" si="1"/>
        <v>2935022.375</v>
      </c>
      <c r="M75" s="491">
        <f>'GREATER GIYANI WATER'!H36</f>
        <v>3118461.2734375</v>
      </c>
      <c r="N75" s="492">
        <f>'GREATER GIYANI WATER'!I36</f>
        <v>3313365.1030273438</v>
      </c>
    </row>
    <row r="76" spans="1:15" x14ac:dyDescent="0.25">
      <c r="A76" s="494" t="s">
        <v>231</v>
      </c>
      <c r="B76" s="495">
        <f>'GREATER GIYANI SEWER'!G17</f>
        <v>1657416.0625</v>
      </c>
      <c r="C76" s="495">
        <f>'GREATER GIYANI SEWER'!G26</f>
        <v>257503.25</v>
      </c>
      <c r="D76" s="495">
        <v>0</v>
      </c>
      <c r="E76" s="495">
        <v>0</v>
      </c>
      <c r="F76" s="491">
        <v>0</v>
      </c>
      <c r="G76" s="491">
        <v>0</v>
      </c>
      <c r="H76" s="495">
        <v>0</v>
      </c>
      <c r="I76" s="495">
        <f>'GREATER GIYANI SEWER'!G31</f>
        <v>226653.83875</v>
      </c>
      <c r="J76" s="491"/>
      <c r="K76" s="491"/>
      <c r="L76" s="491">
        <f t="shared" si="1"/>
        <v>2141573.1512500001</v>
      </c>
      <c r="M76" s="491">
        <f>'GREATER GIYANI SEWER'!H33</f>
        <v>2286194.6776093747</v>
      </c>
      <c r="N76" s="492">
        <f>'GREATER GIYANI SEWER'!I33</f>
        <v>2414021.7339080544</v>
      </c>
    </row>
    <row r="77" spans="1:15" x14ac:dyDescent="0.25">
      <c r="A77" s="494" t="s">
        <v>232</v>
      </c>
      <c r="B77" s="495">
        <f>'GREATER LETABA WATER'!G16</f>
        <v>3387604.875</v>
      </c>
      <c r="C77" s="495">
        <f>'GREATER LETABA WATER'!G23</f>
        <v>1118609.5625</v>
      </c>
      <c r="D77" s="495">
        <v>0</v>
      </c>
      <c r="E77" s="495">
        <f>'GREATER LETABA WATER'!G26</f>
        <v>7214254.9375</v>
      </c>
      <c r="F77" s="491">
        <f>'GREATER LETABA WATER'!G31</f>
        <v>760236.8125</v>
      </c>
      <c r="G77" s="491">
        <v>0</v>
      </c>
      <c r="H77" s="495">
        <f>'GREATER LETABA WATER'!G34+5</f>
        <v>11076888.375</v>
      </c>
      <c r="I77" s="495">
        <f>'GREATER LETABA WATER'!G41</f>
        <v>664781.8125</v>
      </c>
      <c r="J77" s="491"/>
      <c r="K77" s="491"/>
      <c r="L77" s="491">
        <f t="shared" si="1"/>
        <v>24222376.375</v>
      </c>
      <c r="M77" s="491">
        <f>'GREATER LETABA WATER'!H43</f>
        <v>25736269.5859375</v>
      </c>
      <c r="N77" s="492">
        <f>'GREATER LETABA WATER'!I43</f>
        <v>27344786.435058594</v>
      </c>
    </row>
    <row r="78" spans="1:15" s="76" customFormat="1" x14ac:dyDescent="0.25">
      <c r="A78" s="494" t="s">
        <v>233</v>
      </c>
      <c r="B78" s="495">
        <f>'GREATER LETABA SEWERAGE'!G16</f>
        <v>604509.375</v>
      </c>
      <c r="C78" s="495">
        <f>'GREATER LETABA SEWERAGE'!G22</f>
        <v>69463.0625</v>
      </c>
      <c r="D78" s="495">
        <v>0</v>
      </c>
      <c r="E78" s="495">
        <f>'GREATER LETABA SEWERAGE'!G25</f>
        <v>1210530.6875</v>
      </c>
      <c r="F78" s="491">
        <f>'GREATER LETABA SEWERAGE'!G30</f>
        <v>221736.3125</v>
      </c>
      <c r="G78" s="491">
        <v>0</v>
      </c>
      <c r="H78" s="495">
        <v>0</v>
      </c>
      <c r="I78" s="495">
        <f>'GREATER LETABA SEWERAGE'!G36</f>
        <v>132033.6875</v>
      </c>
      <c r="J78" s="491"/>
      <c r="K78" s="491"/>
      <c r="L78" s="491">
        <f t="shared" si="1"/>
        <v>2238273.125</v>
      </c>
      <c r="M78" s="491">
        <f>'GREATER LETABA SEWERAGE'!H38</f>
        <v>2378165.1953125</v>
      </c>
      <c r="N78" s="492">
        <f>'GREATER LETABA SEWERAGE'!I38</f>
        <v>2526800.5200195313</v>
      </c>
      <c r="O78" s="599"/>
    </row>
    <row r="79" spans="1:15" x14ac:dyDescent="0.25">
      <c r="A79" s="494" t="s">
        <v>234</v>
      </c>
      <c r="B79" s="495">
        <f>'GREATER TZN WATER PURIFICATION'!G22</f>
        <v>17236616.625</v>
      </c>
      <c r="C79" s="495">
        <f>'GREATER TZN WATER PURIFICATION'!G30</f>
        <v>2849075.6875</v>
      </c>
      <c r="D79" s="495">
        <v>0</v>
      </c>
      <c r="E79" s="495">
        <f>'GREATER TZN WATER PURIFICATION'!G34</f>
        <v>6268750</v>
      </c>
      <c r="F79" s="491">
        <f>'GREATER TZN WATER PURIFICATION'!G43</f>
        <v>3898119.125</v>
      </c>
      <c r="G79" s="491">
        <v>0</v>
      </c>
      <c r="H79" s="495">
        <f>'GREATER TZN WATER PURIFICATION'!G49</f>
        <v>5564947.875</v>
      </c>
      <c r="I79" s="495">
        <f>'GREATER TZN WATER PURIFICATION'!G75+'GREATER TZN WATER PURIFICATION'!G45</f>
        <v>6815993.8125</v>
      </c>
      <c r="J79" s="491"/>
      <c r="K79" s="491"/>
      <c r="L79" s="491">
        <f t="shared" si="1"/>
        <v>42633503.125</v>
      </c>
      <c r="M79" s="491">
        <f>'GREATER TZN WATER PURIFICATION'!H77</f>
        <v>23957048.98828125</v>
      </c>
      <c r="N79" s="492">
        <f>'GREATER TZN WATER PURIFICATION'!I77</f>
        <v>25454364.550048828</v>
      </c>
    </row>
    <row r="80" spans="1:15" s="76" customFormat="1" x14ac:dyDescent="0.25">
      <c r="A80" s="494" t="s">
        <v>235</v>
      </c>
      <c r="B80" s="495">
        <f>'GREATER TZANEEN SEWERAGE'!G20</f>
        <v>2995662.4375</v>
      </c>
      <c r="C80" s="495">
        <f>'GREATER TZANEEN SEWERAGE'!G29</f>
        <v>387198.375</v>
      </c>
      <c r="D80" s="495">
        <v>0</v>
      </c>
      <c r="E80" s="495">
        <f>'GREATER TZANEEN SEWERAGE'!G33</f>
        <v>1593750</v>
      </c>
      <c r="F80" s="491">
        <f>'GREATER TZANEEN SEWERAGE'!G41</f>
        <v>2638876</v>
      </c>
      <c r="G80" s="491">
        <v>0</v>
      </c>
      <c r="H80" s="495">
        <v>0</v>
      </c>
      <c r="I80" s="495">
        <f>'GREATER TZANEEN SEWERAGE'!G60</f>
        <v>560308.84375</v>
      </c>
      <c r="J80" s="491"/>
      <c r="K80" s="491"/>
      <c r="L80" s="491">
        <f t="shared" si="1"/>
        <v>8175795.65625</v>
      </c>
      <c r="M80" s="491">
        <f>'GREATER TZANEEN SEWERAGE'!H62</f>
        <v>8686782.884765625</v>
      </c>
      <c r="N80" s="492">
        <f>'GREATER TZANEEN SEWERAGE'!I62</f>
        <v>9227396.102581054</v>
      </c>
      <c r="O80" s="599"/>
    </row>
    <row r="81" spans="1:15" x14ac:dyDescent="0.25">
      <c r="A81" s="494" t="s">
        <v>236</v>
      </c>
      <c r="B81" s="495">
        <f>'MARULENG WATER &amp; SEWERAGE'!G22</f>
        <v>1814699</v>
      </c>
      <c r="C81" s="495">
        <f>'MARULENG WATER &amp; SEWERAGE'!G29</f>
        <v>636804.0625</v>
      </c>
      <c r="D81" s="495">
        <v>0</v>
      </c>
      <c r="E81" s="495">
        <v>0</v>
      </c>
      <c r="F81" s="491">
        <f>'MARULENG WATER &amp; SEWERAGE'!G33</f>
        <v>684830.125</v>
      </c>
      <c r="G81" s="491">
        <v>0</v>
      </c>
      <c r="H81" s="495"/>
      <c r="I81" s="495">
        <f>'MARULENG WATER &amp; SEWERAGE'!G39</f>
        <v>490932.90625</v>
      </c>
      <c r="J81" s="491"/>
      <c r="K81" s="491"/>
      <c r="L81" s="491">
        <f t="shared" si="1"/>
        <v>3627266.09375</v>
      </c>
      <c r="M81" s="491">
        <f>'MARULENG WATER &amp; SEWERAGE'!H41</f>
        <v>3853970.224609375</v>
      </c>
      <c r="N81" s="492">
        <f>'MARULENG WATER &amp; SEWERAGE'!I41</f>
        <v>4094843.3636474609</v>
      </c>
    </row>
    <row r="82" spans="1:15" s="19" customFormat="1" x14ac:dyDescent="0.25">
      <c r="A82" s="490"/>
      <c r="B82" s="499"/>
      <c r="C82" s="491"/>
      <c r="D82" s="491"/>
      <c r="E82" s="491"/>
      <c r="F82" s="491"/>
      <c r="G82" s="491"/>
      <c r="H82" s="491"/>
      <c r="I82" s="491"/>
      <c r="J82" s="491"/>
      <c r="K82" s="491"/>
      <c r="L82" s="491"/>
      <c r="M82" s="491"/>
      <c r="N82" s="492"/>
      <c r="O82" s="601"/>
    </row>
    <row r="83" spans="1:15" s="19" customFormat="1" ht="16.5" thickBot="1" x14ac:dyDescent="0.3">
      <c r="A83" s="500"/>
      <c r="B83" s="501"/>
      <c r="C83" s="502"/>
      <c r="D83" s="502"/>
      <c r="E83" s="502"/>
      <c r="F83" s="502"/>
      <c r="G83" s="502"/>
      <c r="H83" s="502"/>
      <c r="I83" s="502"/>
      <c r="J83" s="502"/>
      <c r="K83" s="502"/>
      <c r="L83" s="502"/>
      <c r="M83" s="502"/>
      <c r="N83" s="503"/>
      <c r="O83" s="601"/>
    </row>
    <row r="84" spans="1:15" s="19" customFormat="1" ht="16.5" thickBot="1" x14ac:dyDescent="0.3">
      <c r="A84" s="504" t="s">
        <v>113</v>
      </c>
      <c r="B84" s="505">
        <f>SUM(B4:B82)</f>
        <v>362715450.73756254</v>
      </c>
      <c r="C84" s="505">
        <f t="shared" ref="C84:K84" si="2">SUM(C4:C82)</f>
        <v>60788440.012937501</v>
      </c>
      <c r="D84" s="505">
        <f t="shared" si="2"/>
        <v>186056117.74500003</v>
      </c>
      <c r="E84" s="505">
        <f t="shared" si="2"/>
        <v>65173653.570687503</v>
      </c>
      <c r="F84" s="505">
        <f t="shared" si="2"/>
        <v>265846633.52031249</v>
      </c>
      <c r="G84" s="505">
        <f t="shared" si="2"/>
        <v>106635862</v>
      </c>
      <c r="H84" s="505">
        <f t="shared" si="2"/>
        <v>254641836.25</v>
      </c>
      <c r="I84" s="505">
        <f t="shared" si="2"/>
        <v>142992362.40981251</v>
      </c>
      <c r="J84" s="505">
        <f t="shared" si="2"/>
        <v>40888000</v>
      </c>
      <c r="K84" s="505">
        <f t="shared" si="2"/>
        <v>806706533.74100006</v>
      </c>
      <c r="L84" s="505">
        <f>SUM(L4:L83)</f>
        <v>2292444889.9873133</v>
      </c>
      <c r="M84" s="505">
        <f>SUM(M4:M83)</f>
        <v>1412671426.2189176</v>
      </c>
      <c r="N84" s="505">
        <f t="shared" ref="N84" si="3">SUM(N4:N82)</f>
        <v>1504911798.5068946</v>
      </c>
      <c r="O84" s="601"/>
    </row>
    <row r="85" spans="1:15" s="19" customFormat="1" ht="15" hidden="1" customHeight="1" thickBot="1" x14ac:dyDescent="0.3">
      <c r="A85" s="506"/>
      <c r="B85" s="364"/>
      <c r="C85" s="364"/>
      <c r="D85" s="364"/>
      <c r="E85" s="364"/>
      <c r="F85" s="364"/>
      <c r="G85" s="507"/>
      <c r="H85" s="507"/>
      <c r="I85" s="364"/>
      <c r="J85" s="364"/>
      <c r="K85" s="364"/>
      <c r="L85" s="507"/>
      <c r="M85" s="364"/>
      <c r="N85" s="364"/>
      <c r="O85" s="601"/>
    </row>
    <row r="86" spans="1:15" s="19" customFormat="1" hidden="1" x14ac:dyDescent="0.25">
      <c r="A86" s="508"/>
      <c r="B86" s="509"/>
      <c r="C86" s="510"/>
      <c r="D86" s="510"/>
      <c r="E86" s="510"/>
      <c r="F86" s="510"/>
      <c r="G86" s="510"/>
      <c r="H86" s="511"/>
      <c r="I86" s="511"/>
      <c r="J86" s="511"/>
      <c r="K86" s="511"/>
      <c r="L86" s="510"/>
      <c r="M86" s="511"/>
      <c r="N86" s="511"/>
      <c r="O86" s="601"/>
    </row>
    <row r="87" spans="1:15" hidden="1" x14ac:dyDescent="0.25">
      <c r="C87" s="513">
        <f>B80+B78+B76+B74+F44+F45+F51+F52+F55+F56+F63+F64</f>
        <v>8692753.7860000003</v>
      </c>
      <c r="D87" s="512">
        <f>76520316-71870316</f>
        <v>4650000</v>
      </c>
    </row>
    <row r="88" spans="1:15" hidden="1" x14ac:dyDescent="0.25">
      <c r="C88" s="513"/>
      <c r="F88" s="514">
        <v>1915289462</v>
      </c>
      <c r="I88" s="513">
        <f>N74+N76+N78+N80</f>
        <v>19298557.664572325</v>
      </c>
      <c r="K88" s="512">
        <f>320757898-13396101</f>
        <v>307361797</v>
      </c>
      <c r="N88" s="512">
        <f>471580250-483180250</f>
        <v>-11600000</v>
      </c>
    </row>
    <row r="89" spans="1:15" hidden="1" x14ac:dyDescent="0.25">
      <c r="E89" s="513"/>
      <c r="F89" s="513">
        <f>L84</f>
        <v>2292444889.9873133</v>
      </c>
      <c r="I89" s="513">
        <f>F44+F45+F51+F52+F55+F56+F63+F64</f>
        <v>127500</v>
      </c>
    </row>
    <row r="90" spans="1:15" hidden="1" x14ac:dyDescent="0.25">
      <c r="F90" s="513">
        <f>F88-F89</f>
        <v>-377155427.98731327</v>
      </c>
      <c r="I90" s="513">
        <f>SUM(I88:I89)</f>
        <v>19426057.664572325</v>
      </c>
      <c r="L90" s="513"/>
    </row>
    <row r="91" spans="1:15" hidden="1" x14ac:dyDescent="0.25"/>
  </sheetData>
  <mergeCells count="1">
    <mergeCell ref="A1:N1"/>
  </mergeCells>
  <phoneticPr fontId="8" type="noConversion"/>
  <pageMargins left="0" right="0" top="0.98425196850393704" bottom="0.23622047244094491" header="0.23622047244094491" footer="0.23622047244094491"/>
  <pageSetup scale="49" orientation="landscape" r:id="rId1"/>
  <headerFooter alignWithMargins="0">
    <oddHeader>&amp;C&amp;P</oddHeader>
    <oddFooter>&amp;A&amp;RPage &amp;P</oddFooter>
  </headerFooter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I27"/>
  <sheetViews>
    <sheetView view="pageBreakPreview" zoomScale="60" zoomScaleNormal="100" workbookViewId="0">
      <selection activeCell="F20" sqref="F20"/>
    </sheetView>
  </sheetViews>
  <sheetFormatPr defaultColWidth="9.28515625" defaultRowHeight="15" x14ac:dyDescent="0.25"/>
  <cols>
    <col min="1" max="1" width="31" style="19" customWidth="1"/>
    <col min="2" max="2" width="14.7109375" style="63" hidden="1" customWidth="1"/>
    <col min="3" max="7" width="14" style="63" customWidth="1"/>
    <col min="8" max="8" width="15.28515625" style="63" customWidth="1"/>
    <col min="9" max="9" width="11.42578125" style="377" bestFit="1" customWidth="1"/>
    <col min="10" max="16384" width="9.28515625" style="19"/>
  </cols>
  <sheetData>
    <row r="1" spans="1:9" s="18" customFormat="1" ht="18.75" x14ac:dyDescent="0.3">
      <c r="A1" s="15" t="s">
        <v>529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36.75" customHeight="1" thickBot="1" x14ac:dyDescent="0.3">
      <c r="A3" s="394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3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3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3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3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3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4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3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3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3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3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3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3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4"/>
    </row>
    <row r="17" spans="1:9" x14ac:dyDescent="0.25">
      <c r="A17" s="60"/>
      <c r="B17" s="44"/>
      <c r="C17" s="178"/>
      <c r="D17" s="178"/>
      <c r="E17" s="178"/>
      <c r="F17" s="178"/>
      <c r="G17" s="178"/>
      <c r="H17" s="44"/>
      <c r="I17" s="431"/>
    </row>
    <row r="18" spans="1:9" s="18" customFormat="1" x14ac:dyDescent="0.25">
      <c r="A18" s="50" t="s">
        <v>316</v>
      </c>
      <c r="B18" s="435">
        <v>100000</v>
      </c>
      <c r="C18" s="177">
        <f t="shared" ref="C18:I19" si="0">B18+(B18*6.25%)</f>
        <v>106250</v>
      </c>
      <c r="D18" s="177"/>
      <c r="E18" s="177">
        <f>C18-D18</f>
        <v>106250</v>
      </c>
      <c r="F18" s="177">
        <v>-106250</v>
      </c>
      <c r="G18" s="177">
        <f>C18+F18</f>
        <v>0</v>
      </c>
      <c r="H18" s="177">
        <f>C18+(C18*6.25%)</f>
        <v>112890.625</v>
      </c>
      <c r="I18" s="397">
        <f t="shared" si="0"/>
        <v>119946.2890625</v>
      </c>
    </row>
    <row r="19" spans="1:9" s="18" customFormat="1" x14ac:dyDescent="0.25">
      <c r="A19" s="50" t="s">
        <v>20</v>
      </c>
      <c r="B19" s="51">
        <v>12000</v>
      </c>
      <c r="C19" s="177">
        <f t="shared" si="0"/>
        <v>12750</v>
      </c>
      <c r="D19" s="177"/>
      <c r="E19" s="177">
        <f>C19-D19</f>
        <v>12750</v>
      </c>
      <c r="F19" s="177">
        <v>-12750</v>
      </c>
      <c r="G19" s="177">
        <f>C19+F19</f>
        <v>0</v>
      </c>
      <c r="H19" s="177">
        <f>C19+(C19*6.25%)</f>
        <v>13546.875</v>
      </c>
      <c r="I19" s="397">
        <f t="shared" si="0"/>
        <v>14393.5546875</v>
      </c>
    </row>
    <row r="20" spans="1:9" s="134" customFormat="1" x14ac:dyDescent="0.25">
      <c r="A20" s="342" t="s">
        <v>43</v>
      </c>
      <c r="B20" s="44">
        <f>SUM(B18:B19)</f>
        <v>112000</v>
      </c>
      <c r="C20" s="178">
        <f>SUM(C18:C19)</f>
        <v>119000</v>
      </c>
      <c r="D20" s="178">
        <f t="shared" ref="D20:E20" si="1">SUM(D18:D19)</f>
        <v>0</v>
      </c>
      <c r="E20" s="178">
        <f t="shared" si="1"/>
        <v>119000</v>
      </c>
      <c r="F20" s="178">
        <f t="shared" ref="F20:G20" si="2">SUM(F18:F19)</f>
        <v>-119000</v>
      </c>
      <c r="G20" s="178">
        <f t="shared" si="2"/>
        <v>0</v>
      </c>
      <c r="H20" s="178">
        <f>SUM(H18:H19)</f>
        <v>126437.5</v>
      </c>
      <c r="I20" s="400">
        <f>SUM(I18:I19)</f>
        <v>134339.84375</v>
      </c>
    </row>
    <row r="21" spans="1:9" s="18" customFormat="1" hidden="1" x14ac:dyDescent="0.25">
      <c r="A21" s="398"/>
      <c r="B21" s="51"/>
      <c r="C21" s="177"/>
      <c r="D21" s="177"/>
      <c r="E21" s="177"/>
      <c r="F21" s="177"/>
      <c r="G21" s="177"/>
      <c r="H21" s="51"/>
      <c r="I21" s="400">
        <f>H21+(H21*5.4%)</f>
        <v>0</v>
      </c>
    </row>
    <row r="22" spans="1:9" s="18" customFormat="1" hidden="1" x14ac:dyDescent="0.25">
      <c r="A22" s="341">
        <v>127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00">
        <f>H22+(H22*5.4%)</f>
        <v>0</v>
      </c>
    </row>
    <row r="23" spans="1:9" s="18" customFormat="1" hidden="1" x14ac:dyDescent="0.25">
      <c r="A23" s="341">
        <v>127</v>
      </c>
      <c r="B23" s="165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00">
        <f>H23+(H23*5.4%)</f>
        <v>0</v>
      </c>
    </row>
    <row r="24" spans="1:9" s="18" customFormat="1" hidden="1" x14ac:dyDescent="0.25">
      <c r="A24" s="341">
        <v>127</v>
      </c>
      <c r="B24" s="165"/>
      <c r="C24" s="214">
        <f>B24*6.2%+B24</f>
        <v>0</v>
      </c>
      <c r="D24" s="214"/>
      <c r="E24" s="214"/>
      <c r="F24" s="214"/>
      <c r="G24" s="214"/>
      <c r="H24" s="165">
        <f>C24*5.9%+C24</f>
        <v>0</v>
      </c>
      <c r="I24" s="400">
        <f>H24+(H24*5.4%)</f>
        <v>0</v>
      </c>
    </row>
    <row r="25" spans="1:9" s="134" customFormat="1" hidden="1" x14ac:dyDescent="0.25">
      <c r="A25" s="343" t="s">
        <v>42</v>
      </c>
      <c r="B25" s="44">
        <f>SUM(B22:B24)</f>
        <v>0</v>
      </c>
      <c r="C25" s="178">
        <f>SUM(C22:C24)</f>
        <v>0</v>
      </c>
      <c r="D25" s="178"/>
      <c r="E25" s="178"/>
      <c r="F25" s="178"/>
      <c r="G25" s="178"/>
      <c r="H25" s="44">
        <f>SUM(H22:H24)</f>
        <v>0</v>
      </c>
      <c r="I25" s="400">
        <f>H25+(H25*5.4%)</f>
        <v>0</v>
      </c>
    </row>
    <row r="26" spans="1:9" s="134" customFormat="1" x14ac:dyDescent="0.25">
      <c r="A26" s="343"/>
      <c r="B26" s="44"/>
      <c r="C26" s="178"/>
      <c r="D26" s="178"/>
      <c r="E26" s="178"/>
      <c r="F26" s="178"/>
      <c r="G26" s="178"/>
      <c r="H26" s="44"/>
      <c r="I26" s="400"/>
    </row>
    <row r="27" spans="1:9" ht="15.75" thickBot="1" x14ac:dyDescent="0.3">
      <c r="A27" s="390" t="s">
        <v>48</v>
      </c>
      <c r="B27" s="391">
        <f>B9+B16+B20+B25</f>
        <v>112000</v>
      </c>
      <c r="C27" s="403">
        <f>C9+C16+C20+C25</f>
        <v>119000</v>
      </c>
      <c r="D27" s="403">
        <f t="shared" ref="D27:E27" si="3">D9+D16+D20+D25</f>
        <v>0</v>
      </c>
      <c r="E27" s="403">
        <f t="shared" si="3"/>
        <v>119000</v>
      </c>
      <c r="F27" s="403">
        <f t="shared" ref="F27:G27" si="4">F9+F16+F20+F25</f>
        <v>-119000</v>
      </c>
      <c r="G27" s="403">
        <f t="shared" si="4"/>
        <v>0</v>
      </c>
      <c r="H27" s="403">
        <f>H9+H16+H20+H25</f>
        <v>126437.5</v>
      </c>
      <c r="I27" s="401">
        <f>I9+I16+I20+I25</f>
        <v>134339.84375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&amp;A&amp;RPage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I26"/>
  <sheetViews>
    <sheetView view="pageBreakPreview" zoomScale="60" zoomScaleNormal="100" workbookViewId="0">
      <selection activeCell="F20" sqref="F20"/>
    </sheetView>
  </sheetViews>
  <sheetFormatPr defaultColWidth="9.28515625" defaultRowHeight="15" x14ac:dyDescent="0.25"/>
  <cols>
    <col min="1" max="1" width="29.7109375" style="19" customWidth="1"/>
    <col min="2" max="2" width="13.28515625" style="63" hidden="1" customWidth="1"/>
    <col min="3" max="7" width="13.42578125" style="63" customWidth="1"/>
    <col min="8" max="8" width="13.28515625" style="63" customWidth="1"/>
    <col min="9" max="9" width="11.42578125" style="377" bestFit="1" customWidth="1"/>
    <col min="10" max="16384" width="9.28515625" style="19"/>
  </cols>
  <sheetData>
    <row r="1" spans="1:9" s="18" customFormat="1" ht="18.75" x14ac:dyDescent="0.3">
      <c r="A1" s="15" t="s">
        <v>537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8" customHeight="1" thickBot="1" x14ac:dyDescent="0.3">
      <c r="A3" s="394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3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3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3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3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3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4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3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3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3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3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3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3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4"/>
    </row>
    <row r="17" spans="1:9" s="134" customFormat="1" x14ac:dyDescent="0.25">
      <c r="A17" s="60"/>
      <c r="B17" s="44"/>
      <c r="C17" s="178"/>
      <c r="D17" s="178"/>
      <c r="E17" s="178"/>
      <c r="F17" s="178"/>
      <c r="G17" s="178"/>
      <c r="H17" s="44"/>
      <c r="I17" s="432"/>
    </row>
    <row r="18" spans="1:9" s="18" customFormat="1" x14ac:dyDescent="0.25">
      <c r="A18" s="50" t="s">
        <v>316</v>
      </c>
      <c r="B18" s="165">
        <v>100000</v>
      </c>
      <c r="C18" s="177">
        <f t="shared" ref="C18:I19" si="0">B18+(B18*6.25%)</f>
        <v>106250</v>
      </c>
      <c r="D18" s="177"/>
      <c r="E18" s="177">
        <f>C18-D18</f>
        <v>106250</v>
      </c>
      <c r="F18" s="177">
        <v>-106250</v>
      </c>
      <c r="G18" s="177">
        <f>C18+F18</f>
        <v>0</v>
      </c>
      <c r="H18" s="177">
        <f>C18+(C18*6.25%)</f>
        <v>112890.625</v>
      </c>
      <c r="I18" s="397">
        <f t="shared" si="0"/>
        <v>119946.2890625</v>
      </c>
    </row>
    <row r="19" spans="1:9" s="18" customFormat="1" x14ac:dyDescent="0.25">
      <c r="A19" s="50" t="s">
        <v>373</v>
      </c>
      <c r="B19" s="51">
        <v>20000</v>
      </c>
      <c r="C19" s="177">
        <f t="shared" si="0"/>
        <v>21250</v>
      </c>
      <c r="D19" s="177">
        <v>2459</v>
      </c>
      <c r="E19" s="177">
        <f>C19-D19</f>
        <v>18791</v>
      </c>
      <c r="F19" s="177">
        <v>-18700</v>
      </c>
      <c r="G19" s="177">
        <f>C19+F19</f>
        <v>2550</v>
      </c>
      <c r="H19" s="177">
        <f>C19+(C19*6.25%)</f>
        <v>22578.125</v>
      </c>
      <c r="I19" s="397">
        <f t="shared" si="0"/>
        <v>23989.2578125</v>
      </c>
    </row>
    <row r="20" spans="1:9" s="134" customFormat="1" x14ac:dyDescent="0.25">
      <c r="A20" s="342" t="s">
        <v>43</v>
      </c>
      <c r="B20" s="44">
        <f>SUM(B18:B19)</f>
        <v>120000</v>
      </c>
      <c r="C20" s="178">
        <f>SUM(C18:C19)</f>
        <v>127500</v>
      </c>
      <c r="D20" s="178">
        <f>SUM(D18:D19)</f>
        <v>2459</v>
      </c>
      <c r="E20" s="178">
        <f>SUM(E18:E19)</f>
        <v>125041</v>
      </c>
      <c r="F20" s="178">
        <f t="shared" ref="F20:G20" si="1">SUM(F18:F19)</f>
        <v>-124950</v>
      </c>
      <c r="G20" s="178">
        <f t="shared" si="1"/>
        <v>2550</v>
      </c>
      <c r="H20" s="178">
        <f>SUM(H18:H19)</f>
        <v>135468.75</v>
      </c>
      <c r="I20" s="400">
        <f>SUM(I18:I19)</f>
        <v>143935.546875</v>
      </c>
    </row>
    <row r="21" spans="1:9" s="18" customFormat="1" hidden="1" x14ac:dyDescent="0.25">
      <c r="A21" s="398"/>
      <c r="B21" s="51"/>
      <c r="C21" s="177"/>
      <c r="D21" s="177"/>
      <c r="E21" s="177"/>
      <c r="F21" s="177"/>
      <c r="G21" s="177"/>
      <c r="H21" s="51"/>
      <c r="I21" s="400">
        <f>H21+(H21*5.4%)</f>
        <v>0</v>
      </c>
    </row>
    <row r="22" spans="1:9" s="18" customFormat="1" hidden="1" x14ac:dyDescent="0.25">
      <c r="A22" s="341">
        <v>128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00">
        <f>H22+(H22*5.4%)</f>
        <v>0</v>
      </c>
    </row>
    <row r="23" spans="1:9" s="18" customFormat="1" hidden="1" x14ac:dyDescent="0.25">
      <c r="A23" s="341">
        <v>128</v>
      </c>
      <c r="B23" s="165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00">
        <f>H23+(H23*5.4%)</f>
        <v>0</v>
      </c>
    </row>
    <row r="24" spans="1:9" s="134" customFormat="1" hidden="1" x14ac:dyDescent="0.25">
      <c r="A24" s="343" t="s">
        <v>42</v>
      </c>
      <c r="B24" s="44">
        <f>SUM(B22:B23)</f>
        <v>0</v>
      </c>
      <c r="C24" s="178">
        <f>SUM(C22:C23)</f>
        <v>0</v>
      </c>
      <c r="D24" s="178"/>
      <c r="E24" s="178"/>
      <c r="F24" s="178"/>
      <c r="G24" s="178"/>
      <c r="H24" s="44">
        <f>SUM(H22:H23)</f>
        <v>0</v>
      </c>
      <c r="I24" s="400">
        <f>H24+(H24*5.4%)</f>
        <v>0</v>
      </c>
    </row>
    <row r="25" spans="1:9" s="134" customFormat="1" x14ac:dyDescent="0.25">
      <c r="A25" s="343"/>
      <c r="B25" s="44"/>
      <c r="C25" s="178"/>
      <c r="D25" s="178"/>
      <c r="E25" s="178"/>
      <c r="F25" s="178"/>
      <c r="G25" s="178"/>
      <c r="H25" s="44"/>
      <c r="I25" s="400"/>
    </row>
    <row r="26" spans="1:9" ht="15.75" thickBot="1" x14ac:dyDescent="0.3">
      <c r="A26" s="390" t="s">
        <v>48</v>
      </c>
      <c r="B26" s="391">
        <f>B9+B16+B20+B24</f>
        <v>120000</v>
      </c>
      <c r="C26" s="403">
        <f>C9+C16+C20+C24</f>
        <v>127500</v>
      </c>
      <c r="D26" s="403">
        <f>D9+D16+D20+D24</f>
        <v>2459</v>
      </c>
      <c r="E26" s="403">
        <f>E9+E16+E20+E24</f>
        <v>125041</v>
      </c>
      <c r="F26" s="403">
        <f t="shared" ref="F26:G26" si="2">F9+F16+F20+F24</f>
        <v>-124950</v>
      </c>
      <c r="G26" s="403">
        <f t="shared" si="2"/>
        <v>2550</v>
      </c>
      <c r="H26" s="403">
        <f>H9+H16+H20+H24</f>
        <v>135468.75</v>
      </c>
      <c r="I26" s="401">
        <f>I9+I16+I20+I24</f>
        <v>143935.546875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&amp;A&amp;RPage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I27"/>
  <sheetViews>
    <sheetView zoomScaleNormal="100" workbookViewId="0">
      <selection activeCell="F19" sqref="F19"/>
    </sheetView>
  </sheetViews>
  <sheetFormatPr defaultColWidth="9.28515625" defaultRowHeight="15" x14ac:dyDescent="0.25"/>
  <cols>
    <col min="1" max="1" width="29.42578125" style="19" customWidth="1"/>
    <col min="2" max="2" width="14.28515625" style="63" hidden="1" customWidth="1"/>
    <col min="3" max="7" width="14.7109375" style="63" customWidth="1"/>
    <col min="8" max="8" width="15.28515625" style="63" customWidth="1"/>
    <col min="9" max="9" width="11.42578125" style="377" bestFit="1" customWidth="1"/>
    <col min="10" max="16384" width="9.28515625" style="19"/>
  </cols>
  <sheetData>
    <row r="1" spans="1:9" s="18" customFormat="1" ht="18.75" x14ac:dyDescent="0.3">
      <c r="A1" s="15" t="s">
        <v>533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0.5" customHeight="1" thickBot="1" x14ac:dyDescent="0.3">
      <c r="A3" s="394" t="s">
        <v>39</v>
      </c>
      <c r="B3" s="395" t="s">
        <v>365</v>
      </c>
      <c r="C3" s="429" t="s">
        <v>393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442</v>
      </c>
      <c r="I3" s="436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3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3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3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3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3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4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3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3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3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3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3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3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4"/>
    </row>
    <row r="17" spans="1:9" s="134" customFormat="1" hidden="1" x14ac:dyDescent="0.25">
      <c r="A17" s="60"/>
      <c r="B17" s="44"/>
      <c r="C17" s="178"/>
      <c r="D17" s="178"/>
      <c r="E17" s="178"/>
      <c r="F17" s="178"/>
      <c r="G17" s="178"/>
      <c r="H17" s="44"/>
      <c r="I17" s="434"/>
    </row>
    <row r="18" spans="1:9" s="18" customFormat="1" x14ac:dyDescent="0.25">
      <c r="A18" s="50" t="s">
        <v>316</v>
      </c>
      <c r="B18" s="165">
        <v>100000</v>
      </c>
      <c r="C18" s="177">
        <f>B18+(B18*6.25%)</f>
        <v>106250</v>
      </c>
      <c r="D18" s="177"/>
      <c r="E18" s="177">
        <f>C18-D18</f>
        <v>106250</v>
      </c>
      <c r="F18" s="177">
        <v>-106250</v>
      </c>
      <c r="G18" s="177">
        <f>C18+F18</f>
        <v>0</v>
      </c>
      <c r="H18" s="177">
        <f>C18+(C18*6.25%)</f>
        <v>112890.625</v>
      </c>
      <c r="I18" s="397">
        <f>H18+(H18*6.25%)</f>
        <v>119946.2890625</v>
      </c>
    </row>
    <row r="19" spans="1:9" s="134" customFormat="1" x14ac:dyDescent="0.25">
      <c r="A19" s="342" t="s">
        <v>43</v>
      </c>
      <c r="B19" s="44">
        <f>SUM(B18:B18)</f>
        <v>100000</v>
      </c>
      <c r="C19" s="178">
        <f>SUM(C18:C18)</f>
        <v>106250</v>
      </c>
      <c r="D19" s="178">
        <f t="shared" ref="D19:E19" si="0">SUM(D18:D18)</f>
        <v>0</v>
      </c>
      <c r="E19" s="178">
        <f t="shared" si="0"/>
        <v>106250</v>
      </c>
      <c r="F19" s="178">
        <f t="shared" ref="F19:G19" si="1">SUM(F18:F18)</f>
        <v>-106250</v>
      </c>
      <c r="G19" s="178">
        <f t="shared" si="1"/>
        <v>0</v>
      </c>
      <c r="H19" s="178">
        <f>SUM(H18:H18)</f>
        <v>112890.625</v>
      </c>
      <c r="I19" s="400">
        <f>SUM(I18:I18)</f>
        <v>119946.2890625</v>
      </c>
    </row>
    <row r="20" spans="1:9" s="18" customFormat="1" hidden="1" x14ac:dyDescent="0.25">
      <c r="A20" s="398"/>
      <c r="B20" s="51"/>
      <c r="C20" s="177"/>
      <c r="D20" s="177"/>
      <c r="E20" s="177"/>
      <c r="F20" s="177"/>
      <c r="G20" s="177"/>
      <c r="H20" s="51"/>
      <c r="I20" s="400">
        <f t="shared" ref="I20:I25" si="2">H20+(H20*5.4%)</f>
        <v>0</v>
      </c>
    </row>
    <row r="21" spans="1:9" s="18" customFormat="1" hidden="1" x14ac:dyDescent="0.25">
      <c r="A21" s="341">
        <v>129</v>
      </c>
      <c r="B21" s="165">
        <v>0</v>
      </c>
      <c r="C21" s="214">
        <f>B21*6.2%+B21</f>
        <v>0</v>
      </c>
      <c r="D21" s="214"/>
      <c r="E21" s="214"/>
      <c r="F21" s="214"/>
      <c r="G21" s="214"/>
      <c r="H21" s="165">
        <f>C21*5.9%+C21</f>
        <v>0</v>
      </c>
      <c r="I21" s="400">
        <f t="shared" si="2"/>
        <v>0</v>
      </c>
    </row>
    <row r="22" spans="1:9" s="18" customFormat="1" hidden="1" x14ac:dyDescent="0.25">
      <c r="A22" s="341">
        <v>129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00">
        <f t="shared" si="2"/>
        <v>0</v>
      </c>
    </row>
    <row r="23" spans="1:9" s="18" customFormat="1" hidden="1" x14ac:dyDescent="0.25">
      <c r="A23" s="341">
        <v>129</v>
      </c>
      <c r="B23" s="165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00">
        <f t="shared" si="2"/>
        <v>0</v>
      </c>
    </row>
    <row r="24" spans="1:9" s="18" customFormat="1" hidden="1" x14ac:dyDescent="0.25">
      <c r="A24" s="389"/>
      <c r="B24" s="91"/>
      <c r="C24" s="214"/>
      <c r="D24" s="214"/>
      <c r="E24" s="214"/>
      <c r="F24" s="214"/>
      <c r="G24" s="214"/>
      <c r="H24" s="51"/>
      <c r="I24" s="400">
        <f t="shared" si="2"/>
        <v>0</v>
      </c>
    </row>
    <row r="25" spans="1:9" s="134" customFormat="1" hidden="1" x14ac:dyDescent="0.25">
      <c r="A25" s="343" t="s">
        <v>42</v>
      </c>
      <c r="B25" s="44">
        <f>SUM(B21:B24)</f>
        <v>0</v>
      </c>
      <c r="C25" s="178">
        <f>SUM(C21:C24)</f>
        <v>0</v>
      </c>
      <c r="D25" s="178"/>
      <c r="E25" s="178"/>
      <c r="F25" s="178"/>
      <c r="G25" s="178"/>
      <c r="H25" s="44">
        <f>SUM(H21:H24)</f>
        <v>0</v>
      </c>
      <c r="I25" s="400">
        <f t="shared" si="2"/>
        <v>0</v>
      </c>
    </row>
    <row r="26" spans="1:9" s="134" customFormat="1" x14ac:dyDescent="0.25">
      <c r="A26" s="343"/>
      <c r="B26" s="44"/>
      <c r="C26" s="178"/>
      <c r="D26" s="178"/>
      <c r="E26" s="178"/>
      <c r="F26" s="178"/>
      <c r="G26" s="178"/>
      <c r="H26" s="44"/>
      <c r="I26" s="400"/>
    </row>
    <row r="27" spans="1:9" ht="15.75" thickBot="1" x14ac:dyDescent="0.3">
      <c r="A27" s="390" t="s">
        <v>48</v>
      </c>
      <c r="B27" s="391">
        <f>B9+B16+B19+B25</f>
        <v>100000</v>
      </c>
      <c r="C27" s="403">
        <f>C9+C16+C19+C25</f>
        <v>106250</v>
      </c>
      <c r="D27" s="403">
        <f t="shared" ref="D27:E27" si="3">D9+D16+D19+D25</f>
        <v>0</v>
      </c>
      <c r="E27" s="403">
        <f t="shared" si="3"/>
        <v>106250</v>
      </c>
      <c r="F27" s="403">
        <f t="shared" ref="F27:G27" si="4">F9+F16+F19+F25</f>
        <v>-106250</v>
      </c>
      <c r="G27" s="403">
        <f t="shared" si="4"/>
        <v>0</v>
      </c>
      <c r="H27" s="403">
        <f>H9+H16+H19+H25</f>
        <v>112890.625</v>
      </c>
      <c r="I27" s="401">
        <f>I9+I16+I19+I25</f>
        <v>119946.2890625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Footer>&amp;A&amp;RPage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I26"/>
  <sheetViews>
    <sheetView view="pageBreakPreview" zoomScale="60" zoomScaleNormal="100" workbookViewId="0">
      <selection activeCell="G31" sqref="G31"/>
    </sheetView>
  </sheetViews>
  <sheetFormatPr defaultColWidth="9.28515625" defaultRowHeight="15" x14ac:dyDescent="0.25"/>
  <cols>
    <col min="1" max="1" width="30.28515625" style="19" customWidth="1"/>
    <col min="2" max="2" width="14.42578125" style="63" hidden="1" customWidth="1"/>
    <col min="3" max="7" width="14.7109375" style="63" customWidth="1"/>
    <col min="8" max="8" width="15.28515625" style="63" customWidth="1"/>
    <col min="9" max="9" width="11.42578125" style="377" bestFit="1" customWidth="1"/>
    <col min="10" max="16384" width="9.28515625" style="19"/>
  </cols>
  <sheetData>
    <row r="1" spans="1:9" s="18" customFormat="1" ht="18.75" x14ac:dyDescent="0.3">
      <c r="A1" s="15" t="s">
        <v>526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3.5" customHeight="1" thickBot="1" x14ac:dyDescent="0.3">
      <c r="A3" s="405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1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1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1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1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1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2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1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1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1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1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1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1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2"/>
    </row>
    <row r="17" spans="1:9" x14ac:dyDescent="0.25">
      <c r="A17" s="60"/>
      <c r="B17" s="44"/>
      <c r="C17" s="44"/>
      <c r="D17" s="44"/>
      <c r="E17" s="44"/>
      <c r="F17" s="44"/>
      <c r="G17" s="44"/>
      <c r="H17" s="44"/>
      <c r="I17" s="431"/>
    </row>
    <row r="18" spans="1:9" s="18" customFormat="1" x14ac:dyDescent="0.25">
      <c r="A18" s="50" t="s">
        <v>316</v>
      </c>
      <c r="B18" s="165">
        <v>187000</v>
      </c>
      <c r="C18" s="51">
        <f>B18+(B18*6.25%)</f>
        <v>198687.5</v>
      </c>
      <c r="D18" s="51"/>
      <c r="E18" s="51">
        <f>C18-D18</f>
        <v>198687.5</v>
      </c>
      <c r="F18" s="51">
        <f>-E18</f>
        <v>-198687.5</v>
      </c>
      <c r="G18" s="51">
        <f>C18+F18</f>
        <v>0</v>
      </c>
      <c r="H18" s="51">
        <f>C18+(C18*6.25%)</f>
        <v>211105.46875</v>
      </c>
      <c r="I18" s="397">
        <f>H18+(H18*6.25%)</f>
        <v>224299.560546875</v>
      </c>
    </row>
    <row r="19" spans="1:9" s="134" customFormat="1" x14ac:dyDescent="0.25">
      <c r="A19" s="342" t="s">
        <v>43</v>
      </c>
      <c r="B19" s="44">
        <f>SUM(B18:B18)</f>
        <v>187000</v>
      </c>
      <c r="C19" s="44">
        <f>SUM(C18:C18)</f>
        <v>198687.5</v>
      </c>
      <c r="D19" s="44">
        <f t="shared" ref="D19:E19" si="0">SUM(D18:D18)</f>
        <v>0</v>
      </c>
      <c r="E19" s="44">
        <f t="shared" si="0"/>
        <v>198687.5</v>
      </c>
      <c r="F19" s="44">
        <f t="shared" ref="F19:G19" si="1">SUM(F18:F18)</f>
        <v>-198687.5</v>
      </c>
      <c r="G19" s="44">
        <f t="shared" si="1"/>
        <v>0</v>
      </c>
      <c r="H19" s="44">
        <f>SUM(H18:H18)</f>
        <v>211105.46875</v>
      </c>
      <c r="I19" s="400">
        <f>SUM(I18:I18)</f>
        <v>224299.560546875</v>
      </c>
    </row>
    <row r="20" spans="1:9" s="18" customFormat="1" hidden="1" x14ac:dyDescent="0.25">
      <c r="A20" s="398"/>
      <c r="B20" s="51"/>
      <c r="C20" s="51"/>
      <c r="D20" s="51"/>
      <c r="E20" s="51"/>
      <c r="F20" s="51"/>
      <c r="G20" s="51"/>
      <c r="H20" s="51"/>
      <c r="I20" s="400">
        <f>H20+(H20*5.4%)</f>
        <v>0</v>
      </c>
    </row>
    <row r="21" spans="1:9" s="18" customFormat="1" hidden="1" x14ac:dyDescent="0.25">
      <c r="A21" s="341">
        <v>130</v>
      </c>
      <c r="B21" s="165"/>
      <c r="C21" s="165">
        <f>B21*6.2%+B21</f>
        <v>0</v>
      </c>
      <c r="D21" s="165"/>
      <c r="E21" s="165"/>
      <c r="F21" s="165"/>
      <c r="G21" s="165"/>
      <c r="H21" s="165">
        <f>C21*5.9%+C21</f>
        <v>0</v>
      </c>
      <c r="I21" s="400">
        <f>H21+(H21*5.4%)</f>
        <v>0</v>
      </c>
    </row>
    <row r="22" spans="1:9" s="18" customFormat="1" hidden="1" x14ac:dyDescent="0.25">
      <c r="A22" s="341">
        <v>130</v>
      </c>
      <c r="B22" s="165"/>
      <c r="C22" s="165">
        <f>B22*6.2%+B22</f>
        <v>0</v>
      </c>
      <c r="D22" s="165"/>
      <c r="E22" s="165"/>
      <c r="F22" s="165"/>
      <c r="G22" s="165"/>
      <c r="H22" s="165">
        <f>C22*5.9%+C22</f>
        <v>0</v>
      </c>
      <c r="I22" s="400">
        <f>H22+(H22*5.4%)</f>
        <v>0</v>
      </c>
    </row>
    <row r="23" spans="1:9" s="92" customFormat="1" hidden="1" x14ac:dyDescent="0.25">
      <c r="A23" s="396"/>
      <c r="B23" s="165"/>
      <c r="C23" s="165"/>
      <c r="D23" s="165"/>
      <c r="E23" s="165"/>
      <c r="F23" s="165"/>
      <c r="G23" s="165"/>
      <c r="H23" s="165"/>
      <c r="I23" s="400">
        <f>H23+(H23*5.4%)</f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44">
        <f>SUM(C21:C23)</f>
        <v>0</v>
      </c>
      <c r="D24" s="44"/>
      <c r="E24" s="44"/>
      <c r="F24" s="44"/>
      <c r="G24" s="44"/>
      <c r="H24" s="44">
        <f>SUM(H21:H23)</f>
        <v>0</v>
      </c>
      <c r="I24" s="400">
        <f>H24+(H24*5.4%)</f>
        <v>0</v>
      </c>
    </row>
    <row r="25" spans="1:9" s="134" customFormat="1" x14ac:dyDescent="0.25">
      <c r="A25" s="343"/>
      <c r="B25" s="44"/>
      <c r="C25" s="44"/>
      <c r="D25" s="44"/>
      <c r="E25" s="44"/>
      <c r="F25" s="44"/>
      <c r="G25" s="44"/>
      <c r="H25" s="44"/>
      <c r="I25" s="400"/>
    </row>
    <row r="26" spans="1:9" ht="15.75" thickBot="1" x14ac:dyDescent="0.3">
      <c r="A26" s="390" t="s">
        <v>48</v>
      </c>
      <c r="B26" s="391">
        <f>B9+B16+B19+B24</f>
        <v>187000</v>
      </c>
      <c r="C26" s="391">
        <f>C9+C16+C19+C24</f>
        <v>198687.5</v>
      </c>
      <c r="D26" s="391">
        <f t="shared" ref="D26:E26" si="2">D9+D16+D19+D24</f>
        <v>0</v>
      </c>
      <c r="E26" s="391">
        <f t="shared" si="2"/>
        <v>198687.5</v>
      </c>
      <c r="F26" s="391">
        <f t="shared" ref="F26:G26" si="3">F9+F16+F19+F24</f>
        <v>-198687.5</v>
      </c>
      <c r="G26" s="391">
        <f t="shared" si="3"/>
        <v>0</v>
      </c>
      <c r="H26" s="391">
        <f>H9+H16+H19+H24</f>
        <v>211105.46875</v>
      </c>
      <c r="I26" s="401">
        <f>I9+I16+I19+I24</f>
        <v>224299.560546875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&amp;CMIDDLE LETABA WATER WORKS</oddHeader>
    <oddFooter>&amp;A&amp;RPage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I26"/>
  <sheetViews>
    <sheetView view="pageBreakPreview" zoomScale="60" zoomScaleNormal="100" workbookViewId="0">
      <selection activeCell="F19" sqref="F19"/>
    </sheetView>
  </sheetViews>
  <sheetFormatPr defaultColWidth="9.28515625" defaultRowHeight="15" x14ac:dyDescent="0.25"/>
  <cols>
    <col min="1" max="1" width="28.42578125" style="19" customWidth="1"/>
    <col min="2" max="2" width="12.42578125" style="63" hidden="1" customWidth="1"/>
    <col min="3" max="7" width="14.28515625" style="63" customWidth="1"/>
    <col min="8" max="8" width="13.7109375" style="63" customWidth="1"/>
    <col min="9" max="9" width="13.42578125" style="377" customWidth="1"/>
    <col min="10" max="16384" width="9.28515625" style="19"/>
  </cols>
  <sheetData>
    <row r="1" spans="1:9" s="18" customFormat="1" ht="18.75" x14ac:dyDescent="0.3">
      <c r="A1" s="15" t="s">
        <v>527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4.25" customHeight="1" thickBot="1" x14ac:dyDescent="0.3">
      <c r="A3" s="405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1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1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1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1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1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2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1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1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1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1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1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1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2"/>
    </row>
    <row r="17" spans="1:9" hidden="1" x14ac:dyDescent="0.25">
      <c r="A17" s="60"/>
      <c r="B17" s="44"/>
      <c r="C17" s="44"/>
      <c r="D17" s="44"/>
      <c r="E17" s="44"/>
      <c r="F17" s="44"/>
      <c r="G17" s="44"/>
      <c r="H17" s="44"/>
      <c r="I17" s="431"/>
    </row>
    <row r="18" spans="1:9" s="18" customFormat="1" x14ac:dyDescent="0.25">
      <c r="A18" s="50" t="s">
        <v>316</v>
      </c>
      <c r="B18" s="165">
        <v>60000</v>
      </c>
      <c r="C18" s="51">
        <f>B18+(B18*6.25%)</f>
        <v>63750</v>
      </c>
      <c r="D18" s="51"/>
      <c r="E18" s="51">
        <f>C18-D18</f>
        <v>63750</v>
      </c>
      <c r="F18" s="51">
        <f>-E18</f>
        <v>-63750</v>
      </c>
      <c r="G18" s="51">
        <f>C18+F18</f>
        <v>0</v>
      </c>
      <c r="H18" s="51">
        <f>C18+(C18*6.25%)</f>
        <v>67734.375</v>
      </c>
      <c r="I18" s="397">
        <f>H18+(H18*6.25%)</f>
        <v>71967.7734375</v>
      </c>
    </row>
    <row r="19" spans="1:9" s="134" customFormat="1" x14ac:dyDescent="0.25">
      <c r="A19" s="342" t="s">
        <v>43</v>
      </c>
      <c r="B19" s="44">
        <f>SUM(B18)</f>
        <v>60000</v>
      </c>
      <c r="C19" s="44">
        <f>SUM(C18)</f>
        <v>63750</v>
      </c>
      <c r="D19" s="44">
        <f t="shared" ref="D19:E19" si="0">SUM(D18)</f>
        <v>0</v>
      </c>
      <c r="E19" s="44">
        <f t="shared" si="0"/>
        <v>63750</v>
      </c>
      <c r="F19" s="44">
        <f t="shared" ref="F19:G19" si="1">SUM(F18)</f>
        <v>-63750</v>
      </c>
      <c r="G19" s="44">
        <f t="shared" si="1"/>
        <v>0</v>
      </c>
      <c r="H19" s="44">
        <f>SUM(H18)</f>
        <v>67734.375</v>
      </c>
      <c r="I19" s="400">
        <f>SUM(I18)</f>
        <v>71967.7734375</v>
      </c>
    </row>
    <row r="20" spans="1:9" s="18" customFormat="1" hidden="1" x14ac:dyDescent="0.25">
      <c r="A20" s="398"/>
      <c r="B20" s="51"/>
      <c r="C20" s="51"/>
      <c r="D20" s="51"/>
      <c r="E20" s="51"/>
      <c r="F20" s="51"/>
      <c r="G20" s="51"/>
      <c r="H20" s="51"/>
      <c r="I20" s="400">
        <f>H20+(H20*5.4%)</f>
        <v>0</v>
      </c>
    </row>
    <row r="21" spans="1:9" s="18" customFormat="1" hidden="1" x14ac:dyDescent="0.25">
      <c r="A21" s="341">
        <v>132</v>
      </c>
      <c r="B21" s="165"/>
      <c r="C21" s="165">
        <f>B21*6.2%+B21</f>
        <v>0</v>
      </c>
      <c r="D21" s="165"/>
      <c r="E21" s="165"/>
      <c r="F21" s="165"/>
      <c r="G21" s="165"/>
      <c r="H21" s="165">
        <f>C21*5.9%+C21</f>
        <v>0</v>
      </c>
      <c r="I21" s="400">
        <f>H21+(H21*5.4%)</f>
        <v>0</v>
      </c>
    </row>
    <row r="22" spans="1:9" s="18" customFormat="1" hidden="1" x14ac:dyDescent="0.25">
      <c r="A22" s="341">
        <v>132</v>
      </c>
      <c r="B22" s="165"/>
      <c r="C22" s="165">
        <f>B22*6.2%+B22</f>
        <v>0</v>
      </c>
      <c r="D22" s="165"/>
      <c r="E22" s="165"/>
      <c r="F22" s="165"/>
      <c r="G22" s="165"/>
      <c r="H22" s="165">
        <f>C22*5.9%+C22</f>
        <v>0</v>
      </c>
      <c r="I22" s="400">
        <f>H22+(H22*5.4%)</f>
        <v>0</v>
      </c>
    </row>
    <row r="23" spans="1:9" s="92" customFormat="1" hidden="1" x14ac:dyDescent="0.25">
      <c r="A23" s="341"/>
      <c r="B23" s="165"/>
      <c r="C23" s="165">
        <f>B23*6.2%+B23</f>
        <v>0</v>
      </c>
      <c r="D23" s="165"/>
      <c r="E23" s="165"/>
      <c r="F23" s="165"/>
      <c r="G23" s="165"/>
      <c r="H23" s="165">
        <f>C23*5.9%+C23</f>
        <v>0</v>
      </c>
      <c r="I23" s="400">
        <f>H23+(H23*5.4%)</f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44">
        <f>SUM(C21:C23)</f>
        <v>0</v>
      </c>
      <c r="D24" s="44"/>
      <c r="E24" s="44"/>
      <c r="F24" s="44"/>
      <c r="G24" s="44"/>
      <c r="H24" s="44">
        <f>SUM(H21:H23)</f>
        <v>0</v>
      </c>
      <c r="I24" s="400">
        <f>H24+(H24*5.4%)</f>
        <v>0</v>
      </c>
    </row>
    <row r="25" spans="1:9" s="134" customFormat="1" x14ac:dyDescent="0.25">
      <c r="A25" s="343"/>
      <c r="B25" s="44"/>
      <c r="C25" s="44"/>
      <c r="D25" s="44"/>
      <c r="E25" s="44"/>
      <c r="F25" s="44"/>
      <c r="G25" s="44"/>
      <c r="H25" s="44"/>
      <c r="I25" s="400"/>
    </row>
    <row r="26" spans="1:9" ht="15.75" thickBot="1" x14ac:dyDescent="0.3">
      <c r="A26" s="390" t="s">
        <v>48</v>
      </c>
      <c r="B26" s="391">
        <f>B9+B16+B19+B24</f>
        <v>60000</v>
      </c>
      <c r="C26" s="391">
        <f>C9+C16+C19+C24</f>
        <v>63750</v>
      </c>
      <c r="D26" s="391">
        <f t="shared" ref="D26:E26" si="2">D9+D16+D19+D24</f>
        <v>0</v>
      </c>
      <c r="E26" s="391">
        <f t="shared" si="2"/>
        <v>63750</v>
      </c>
      <c r="F26" s="391">
        <f t="shared" ref="F26:G26" si="3">F9+F16+F19+F24</f>
        <v>-63750</v>
      </c>
      <c r="G26" s="391">
        <f t="shared" si="3"/>
        <v>0</v>
      </c>
      <c r="H26" s="391">
        <f>H9+H16+H19+H24</f>
        <v>67734.375</v>
      </c>
      <c r="I26" s="401">
        <f>I9+I16+I19+I24</f>
        <v>71967.7734375</v>
      </c>
    </row>
  </sheetData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&amp;A&amp;RPage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I21"/>
  <sheetViews>
    <sheetView view="pageBreakPreview" zoomScale="60" zoomScaleNormal="100" workbookViewId="0">
      <selection activeCell="F19" sqref="F19"/>
    </sheetView>
  </sheetViews>
  <sheetFormatPr defaultColWidth="9.28515625" defaultRowHeight="15" x14ac:dyDescent="0.25"/>
  <cols>
    <col min="1" max="1" width="30" style="19" customWidth="1"/>
    <col min="2" max="2" width="13.28515625" style="63" hidden="1" customWidth="1"/>
    <col min="3" max="7" width="13.140625" style="63" customWidth="1"/>
    <col min="8" max="8" width="13.28515625" style="63" customWidth="1"/>
    <col min="9" max="9" width="10.85546875" style="377" bestFit="1" customWidth="1"/>
    <col min="10" max="16384" width="9.28515625" style="19"/>
  </cols>
  <sheetData>
    <row r="1" spans="1:9" s="18" customFormat="1" ht="18.75" x14ac:dyDescent="0.3">
      <c r="A1" s="15" t="s">
        <v>532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3.5" customHeight="1" thickBot="1" x14ac:dyDescent="0.3">
      <c r="A3" s="405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429" t="s">
        <v>556</v>
      </c>
      <c r="I3" s="430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1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1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1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1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1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2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1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1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1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1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1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1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2"/>
    </row>
    <row r="17" spans="1:9" x14ac:dyDescent="0.25">
      <c r="A17" s="60"/>
      <c r="B17" s="44"/>
      <c r="C17" s="165"/>
      <c r="D17" s="165"/>
      <c r="E17" s="165"/>
      <c r="F17" s="165"/>
      <c r="G17" s="165"/>
      <c r="H17" s="165"/>
      <c r="I17" s="431"/>
    </row>
    <row r="18" spans="1:9" s="18" customFormat="1" x14ac:dyDescent="0.25">
      <c r="A18" s="50" t="s">
        <v>316</v>
      </c>
      <c r="B18" s="165">
        <v>130000</v>
      </c>
      <c r="C18" s="51">
        <f>B18+(B18*6.25%)</f>
        <v>138125</v>
      </c>
      <c r="D18" s="51"/>
      <c r="E18" s="51">
        <f>C18-D18</f>
        <v>138125</v>
      </c>
      <c r="F18" s="51">
        <f>-E18</f>
        <v>-138125</v>
      </c>
      <c r="G18" s="51">
        <f>C18+F18</f>
        <v>0</v>
      </c>
      <c r="H18" s="51">
        <f>C18+(C18*6.25%)</f>
        <v>146757.8125</v>
      </c>
      <c r="I18" s="397">
        <f>H18+(H18*6.25%)</f>
        <v>155930.17578125</v>
      </c>
    </row>
    <row r="19" spans="1:9" s="134" customFormat="1" x14ac:dyDescent="0.25">
      <c r="A19" s="342" t="s">
        <v>43</v>
      </c>
      <c r="B19" s="44">
        <f>SUM(B18)</f>
        <v>130000</v>
      </c>
      <c r="C19" s="44">
        <f>SUM(C18)</f>
        <v>138125</v>
      </c>
      <c r="D19" s="44">
        <f t="shared" ref="D19:E19" si="0">SUM(D18)</f>
        <v>0</v>
      </c>
      <c r="E19" s="44">
        <f t="shared" si="0"/>
        <v>138125</v>
      </c>
      <c r="F19" s="44">
        <f t="shared" ref="F19:G19" si="1">SUM(F18)</f>
        <v>-138125</v>
      </c>
      <c r="G19" s="44">
        <f t="shared" si="1"/>
        <v>0</v>
      </c>
      <c r="H19" s="44">
        <f>SUM(H18)</f>
        <v>146757.8125</v>
      </c>
      <c r="I19" s="400">
        <f>SUM(I18)</f>
        <v>155930.17578125</v>
      </c>
    </row>
    <row r="20" spans="1:9" s="134" customFormat="1" x14ac:dyDescent="0.25">
      <c r="A20" s="342"/>
      <c r="B20" s="44"/>
      <c r="C20" s="44"/>
      <c r="D20" s="44"/>
      <c r="E20" s="44"/>
      <c r="F20" s="44"/>
      <c r="G20" s="44"/>
      <c r="H20" s="44"/>
      <c r="I20" s="400"/>
    </row>
    <row r="21" spans="1:9" ht="15.75" thickBot="1" x14ac:dyDescent="0.3">
      <c r="A21" s="390" t="s">
        <v>48</v>
      </c>
      <c r="B21" s="391">
        <f>B9+B16+B19</f>
        <v>130000</v>
      </c>
      <c r="C21" s="391">
        <f>C9+C16+C19</f>
        <v>138125</v>
      </c>
      <c r="D21" s="391">
        <f t="shared" ref="D21:E21" si="2">D9+D16+D19</f>
        <v>0</v>
      </c>
      <c r="E21" s="391">
        <f t="shared" si="2"/>
        <v>138125</v>
      </c>
      <c r="F21" s="391">
        <f t="shared" ref="F21:G21" si="3">F9+F16+F19</f>
        <v>-138125</v>
      </c>
      <c r="G21" s="391">
        <f t="shared" si="3"/>
        <v>0</v>
      </c>
      <c r="H21" s="391">
        <f>H9+H16+H19</f>
        <v>146757.8125</v>
      </c>
      <c r="I21" s="401">
        <f>I9+I16+I19</f>
        <v>155930.17578125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&amp;A&amp;RPage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I21"/>
  <sheetViews>
    <sheetView view="pageBreakPreview" zoomScale="60" zoomScaleNormal="100" workbookViewId="0">
      <selection activeCell="I3" sqref="I3"/>
    </sheetView>
  </sheetViews>
  <sheetFormatPr defaultColWidth="9.28515625" defaultRowHeight="15" x14ac:dyDescent="0.25"/>
  <cols>
    <col min="1" max="1" width="30.28515625" style="19" customWidth="1"/>
    <col min="2" max="2" width="12.28515625" style="63" hidden="1" customWidth="1"/>
    <col min="3" max="8" width="12.28515625" style="63" customWidth="1"/>
    <col min="9" max="9" width="11.140625" style="377" customWidth="1"/>
    <col min="10" max="16384" width="9.28515625" style="19"/>
  </cols>
  <sheetData>
    <row r="1" spans="1:9" s="18" customFormat="1" ht="18.75" x14ac:dyDescent="0.3">
      <c r="A1" s="15" t="s">
        <v>534</v>
      </c>
      <c r="B1" s="105"/>
      <c r="C1" s="105"/>
      <c r="D1" s="105"/>
      <c r="E1" s="105"/>
      <c r="F1" s="105"/>
      <c r="G1" s="105"/>
      <c r="H1" s="105"/>
      <c r="I1" s="376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376"/>
    </row>
    <row r="3" spans="1:9" s="18" customFormat="1" ht="40.5" customHeight="1" thickBot="1" x14ac:dyDescent="0.3">
      <c r="A3" s="405" t="s">
        <v>39</v>
      </c>
      <c r="B3" s="395" t="s">
        <v>393</v>
      </c>
      <c r="C3" s="429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29" t="s">
        <v>556</v>
      </c>
      <c r="I3" s="43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1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1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1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1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1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2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1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1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1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1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1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1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2"/>
    </row>
    <row r="17" spans="1:9" hidden="1" x14ac:dyDescent="0.25">
      <c r="A17" s="60"/>
      <c r="B17" s="44"/>
      <c r="C17" s="44"/>
      <c r="D17" s="44"/>
      <c r="E17" s="44"/>
      <c r="F17" s="44"/>
      <c r="G17" s="44"/>
      <c r="H17" s="44"/>
      <c r="I17" s="431"/>
    </row>
    <row r="18" spans="1:9" s="18" customFormat="1" x14ac:dyDescent="0.25">
      <c r="A18" s="50" t="s">
        <v>316</v>
      </c>
      <c r="B18" s="165">
        <v>30000</v>
      </c>
      <c r="C18" s="51">
        <f>B18+(B18*6.25%)</f>
        <v>31875</v>
      </c>
      <c r="D18" s="51"/>
      <c r="E18" s="51">
        <f>C18-D18</f>
        <v>31875</v>
      </c>
      <c r="F18" s="51">
        <f>-E18</f>
        <v>-31875</v>
      </c>
      <c r="G18" s="51">
        <f>C18+F18</f>
        <v>0</v>
      </c>
      <c r="H18" s="51">
        <f>C18+(C18*6.25%)</f>
        <v>33867.1875</v>
      </c>
      <c r="I18" s="397">
        <f>H18+(H18*6.25%)</f>
        <v>35983.88671875</v>
      </c>
    </row>
    <row r="19" spans="1:9" s="134" customFormat="1" x14ac:dyDescent="0.25">
      <c r="A19" s="342" t="s">
        <v>43</v>
      </c>
      <c r="B19" s="44">
        <f>SUM(B18)</f>
        <v>30000</v>
      </c>
      <c r="C19" s="44">
        <f>SUM(C18)</f>
        <v>31875</v>
      </c>
      <c r="D19" s="44">
        <f t="shared" ref="D19:E19" si="0">SUM(D18)</f>
        <v>0</v>
      </c>
      <c r="E19" s="44">
        <f t="shared" si="0"/>
        <v>31875</v>
      </c>
      <c r="F19" s="44">
        <f t="shared" ref="F19:G19" si="1">SUM(F18)</f>
        <v>-31875</v>
      </c>
      <c r="G19" s="44">
        <f t="shared" si="1"/>
        <v>0</v>
      </c>
      <c r="H19" s="44">
        <f>SUM(H18)</f>
        <v>33867.1875</v>
      </c>
      <c r="I19" s="400">
        <f>SUM(I18)</f>
        <v>35983.88671875</v>
      </c>
    </row>
    <row r="20" spans="1:9" s="134" customFormat="1" x14ac:dyDescent="0.25">
      <c r="A20" s="342"/>
      <c r="B20" s="44"/>
      <c r="C20" s="44"/>
      <c r="D20" s="44"/>
      <c r="E20" s="44"/>
      <c r="F20" s="44"/>
      <c r="G20" s="44"/>
      <c r="H20" s="44"/>
      <c r="I20" s="400"/>
    </row>
    <row r="21" spans="1:9" ht="15.75" thickBot="1" x14ac:dyDescent="0.3">
      <c r="A21" s="390" t="s">
        <v>48</v>
      </c>
      <c r="B21" s="391">
        <f>B9+B16+B19</f>
        <v>30000</v>
      </c>
      <c r="C21" s="391">
        <f>C9+C16+C19</f>
        <v>31875</v>
      </c>
      <c r="D21" s="391">
        <f t="shared" ref="D21:E21" si="2">D9+D16+D19</f>
        <v>0</v>
      </c>
      <c r="E21" s="391">
        <f t="shared" si="2"/>
        <v>31875</v>
      </c>
      <c r="F21" s="391">
        <f t="shared" ref="F21:G21" si="3">F9+F16+F19</f>
        <v>-31875</v>
      </c>
      <c r="G21" s="391">
        <f t="shared" si="3"/>
        <v>0</v>
      </c>
      <c r="H21" s="391">
        <f>H9+H16+H19</f>
        <v>33867.1875</v>
      </c>
      <c r="I21" s="401">
        <f>I9+I16+I19</f>
        <v>35983.88671875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&amp;A&amp;RPage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I23"/>
  <sheetViews>
    <sheetView view="pageBreakPreview" zoomScale="70" zoomScaleNormal="100" zoomScaleSheetLayoutView="70" workbookViewId="0">
      <selection activeCell="F19" sqref="F19"/>
    </sheetView>
  </sheetViews>
  <sheetFormatPr defaultColWidth="9.28515625" defaultRowHeight="15" x14ac:dyDescent="0.25"/>
  <cols>
    <col min="1" max="1" width="29.28515625" style="19" customWidth="1"/>
    <col min="2" max="2" width="17.7109375" style="63" hidden="1" customWidth="1"/>
    <col min="3" max="7" width="15" style="63" customWidth="1"/>
    <col min="8" max="8" width="13.42578125" style="63" customWidth="1"/>
    <col min="9" max="9" width="13.42578125" style="19" customWidth="1"/>
    <col min="10" max="16384" width="9.28515625" style="19"/>
  </cols>
  <sheetData>
    <row r="1" spans="1:9" s="18" customFormat="1" ht="18.75" x14ac:dyDescent="0.3">
      <c r="A1" s="15" t="s">
        <v>507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1.25" customHeight="1" thickBot="1" x14ac:dyDescent="0.3">
      <c r="A3" s="405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8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9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9"/>
    </row>
    <row r="17" spans="1:9" hidden="1" x14ac:dyDescent="0.25">
      <c r="A17" s="60"/>
      <c r="B17" s="44"/>
      <c r="C17" s="44"/>
      <c r="D17" s="44"/>
      <c r="E17" s="44"/>
      <c r="F17" s="44"/>
      <c r="G17" s="44"/>
      <c r="H17" s="44"/>
      <c r="I17" s="438"/>
    </row>
    <row r="18" spans="1:9" s="18" customFormat="1" x14ac:dyDescent="0.25">
      <c r="A18" s="50" t="s">
        <v>316</v>
      </c>
      <c r="B18" s="165">
        <f>30200000</f>
        <v>30200000</v>
      </c>
      <c r="C18" s="165">
        <v>1350000</v>
      </c>
      <c r="D18" s="165"/>
      <c r="E18" s="165">
        <f>C18-D18</f>
        <v>1350000</v>
      </c>
      <c r="F18" s="165">
        <f>-E18</f>
        <v>-1350000</v>
      </c>
      <c r="G18" s="165">
        <f>C18+F18</f>
        <v>0</v>
      </c>
      <c r="H18" s="165">
        <f>C18*6.25%+C18</f>
        <v>1434375</v>
      </c>
      <c r="I18" s="440">
        <f>H18*6.25%+H18</f>
        <v>1524023.4375</v>
      </c>
    </row>
    <row r="19" spans="1:9" s="134" customFormat="1" x14ac:dyDescent="0.25">
      <c r="A19" s="342" t="s">
        <v>43</v>
      </c>
      <c r="B19" s="44">
        <f>SUM(B18:B18)</f>
        <v>30200000</v>
      </c>
      <c r="C19" s="44">
        <f>SUM(C18:C18)</f>
        <v>1350000</v>
      </c>
      <c r="D19" s="44">
        <f t="shared" ref="D19:E19" si="0">SUM(D18:D18)</f>
        <v>0</v>
      </c>
      <c r="E19" s="44">
        <f t="shared" si="0"/>
        <v>1350000</v>
      </c>
      <c r="F19" s="44">
        <f t="shared" ref="F19:G19" si="1">SUM(F18:F18)</f>
        <v>-1350000</v>
      </c>
      <c r="G19" s="44">
        <f t="shared" si="1"/>
        <v>0</v>
      </c>
      <c r="H19" s="44">
        <f>SUM(H18:H18)</f>
        <v>1434375</v>
      </c>
      <c r="I19" s="400">
        <f>SUM(I18:I18)</f>
        <v>1524023.4375</v>
      </c>
    </row>
    <row r="20" spans="1:9" s="18" customFormat="1" x14ac:dyDescent="0.25">
      <c r="A20" s="398"/>
      <c r="B20" s="51"/>
      <c r="C20" s="51"/>
      <c r="D20" s="51"/>
      <c r="E20" s="51"/>
      <c r="F20" s="51"/>
      <c r="G20" s="51"/>
      <c r="H20" s="51"/>
      <c r="I20" s="441">
        <f>H20*5.4%+H20</f>
        <v>0</v>
      </c>
    </row>
    <row r="21" spans="1:9" s="18" customFormat="1" hidden="1" x14ac:dyDescent="0.25">
      <c r="A21" s="341">
        <v>135</v>
      </c>
      <c r="B21" s="165">
        <v>0</v>
      </c>
      <c r="C21" s="165">
        <f>B21*6.2%+B21</f>
        <v>0</v>
      </c>
      <c r="D21" s="165"/>
      <c r="E21" s="165"/>
      <c r="F21" s="165"/>
      <c r="G21" s="165"/>
      <c r="H21" s="165">
        <f>C21*5.9%+C21</f>
        <v>0</v>
      </c>
      <c r="I21" s="441">
        <f>H21*5.4%+H21</f>
        <v>0</v>
      </c>
    </row>
    <row r="22" spans="1:9" s="134" customFormat="1" hidden="1" x14ac:dyDescent="0.25">
      <c r="A22" s="343" t="s">
        <v>42</v>
      </c>
      <c r="B22" s="44">
        <f>SUM(B21:B21)</f>
        <v>0</v>
      </c>
      <c r="C22" s="44">
        <f>SUM(C21:C21)</f>
        <v>0</v>
      </c>
      <c r="D22" s="44"/>
      <c r="E22" s="44"/>
      <c r="F22" s="44"/>
      <c r="G22" s="44"/>
      <c r="H22" s="44">
        <f>SUM(H21:H21)</f>
        <v>0</v>
      </c>
      <c r="I22" s="441">
        <f>H22*5.4%+H22</f>
        <v>0</v>
      </c>
    </row>
    <row r="23" spans="1:9" ht="15.75" thickBot="1" x14ac:dyDescent="0.3">
      <c r="A23" s="390" t="s">
        <v>48</v>
      </c>
      <c r="B23" s="391">
        <f>B9+B16+B19+B22</f>
        <v>30200000</v>
      </c>
      <c r="C23" s="391">
        <f>C9+C16+C19+C22</f>
        <v>1350000</v>
      </c>
      <c r="D23" s="391">
        <f t="shared" ref="D23:E23" si="2">D9+D16+D19+D22</f>
        <v>0</v>
      </c>
      <c r="E23" s="391">
        <f t="shared" si="2"/>
        <v>1350000</v>
      </c>
      <c r="F23" s="391">
        <f t="shared" ref="F23:G23" si="3">F9+F16+F19+F22</f>
        <v>-1350000</v>
      </c>
      <c r="G23" s="391">
        <f t="shared" si="3"/>
        <v>0</v>
      </c>
      <c r="H23" s="391">
        <f>H9+H16+H19+H22</f>
        <v>1434375</v>
      </c>
      <c r="I23" s="401">
        <f>I9+I16+I19+I22</f>
        <v>1524023.4375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&amp;A&amp;RPage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I26"/>
  <sheetViews>
    <sheetView view="pageBreakPreview" zoomScaleNormal="100" zoomScaleSheetLayoutView="100" workbookViewId="0">
      <selection activeCell="F19" sqref="F19"/>
    </sheetView>
  </sheetViews>
  <sheetFormatPr defaultColWidth="9.28515625" defaultRowHeight="15" x14ac:dyDescent="0.25"/>
  <cols>
    <col min="1" max="1" width="27.28515625" style="19" customWidth="1"/>
    <col min="2" max="2" width="14.7109375" style="63" hidden="1" customWidth="1"/>
    <col min="3" max="7" width="15.140625" style="63" customWidth="1"/>
    <col min="8" max="8" width="12.85546875" style="63" customWidth="1"/>
    <col min="9" max="9" width="11.7109375" style="19" customWidth="1"/>
    <col min="10" max="16384" width="9.28515625" style="19"/>
  </cols>
  <sheetData>
    <row r="1" spans="1:9" s="18" customFormat="1" ht="18.75" x14ac:dyDescent="0.3">
      <c r="A1" s="15" t="s">
        <v>508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50.25" customHeight="1" thickBot="1" x14ac:dyDescent="0.3">
      <c r="A3" s="405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8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9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9"/>
    </row>
    <row r="17" spans="1:9" x14ac:dyDescent="0.25">
      <c r="A17" s="60"/>
      <c r="B17" s="44"/>
      <c r="C17" s="44"/>
      <c r="D17" s="44"/>
      <c r="E17" s="44"/>
      <c r="F17" s="44"/>
      <c r="G17" s="44"/>
      <c r="H17" s="44"/>
      <c r="I17" s="438"/>
    </row>
    <row r="18" spans="1:9" s="18" customFormat="1" x14ac:dyDescent="0.25">
      <c r="A18" s="50" t="s">
        <v>316</v>
      </c>
      <c r="B18" s="165">
        <v>50000</v>
      </c>
      <c r="C18" s="165">
        <f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>H18*6.25%+H18</f>
        <v>59973.14453125</v>
      </c>
    </row>
    <row r="19" spans="1:9" s="134" customFormat="1" x14ac:dyDescent="0.25">
      <c r="A19" s="342" t="s">
        <v>43</v>
      </c>
      <c r="B19" s="44">
        <f>SUM(B18)</f>
        <v>50000</v>
      </c>
      <c r="C19" s="44">
        <f>SUM(C18)</f>
        <v>53125</v>
      </c>
      <c r="D19" s="44">
        <f t="shared" ref="D19:E19" si="0">SUM(D18)</f>
        <v>0</v>
      </c>
      <c r="E19" s="44">
        <f t="shared" si="0"/>
        <v>53125</v>
      </c>
      <c r="F19" s="44">
        <f t="shared" ref="F19:G19" si="1">SUM(F18)</f>
        <v>-53125</v>
      </c>
      <c r="G19" s="44">
        <f t="shared" si="1"/>
        <v>0</v>
      </c>
      <c r="H19" s="44">
        <f>SUM(H18)</f>
        <v>56445.3125</v>
      </c>
      <c r="I19" s="400">
        <f>SUM(I18)</f>
        <v>59973.14453125</v>
      </c>
    </row>
    <row r="20" spans="1:9" s="18" customFormat="1" hidden="1" x14ac:dyDescent="0.25">
      <c r="A20" s="398"/>
      <c r="B20" s="51"/>
      <c r="C20" s="51"/>
      <c r="D20" s="51"/>
      <c r="E20" s="51"/>
      <c r="F20" s="51"/>
      <c r="G20" s="51"/>
      <c r="H20" s="51"/>
      <c r="I20" s="441">
        <f>H20*5.4%+H20</f>
        <v>0</v>
      </c>
    </row>
    <row r="21" spans="1:9" s="18" customFormat="1" hidden="1" x14ac:dyDescent="0.25">
      <c r="A21" s="341">
        <v>136</v>
      </c>
      <c r="B21" s="165">
        <v>0</v>
      </c>
      <c r="C21" s="165">
        <f>B21*6.2%+B21</f>
        <v>0</v>
      </c>
      <c r="D21" s="165"/>
      <c r="E21" s="165"/>
      <c r="F21" s="165"/>
      <c r="G21" s="165"/>
      <c r="H21" s="165">
        <f>C21*5.9%+C21</f>
        <v>0</v>
      </c>
      <c r="I21" s="441">
        <f>H21*5.4%+H21</f>
        <v>0</v>
      </c>
    </row>
    <row r="22" spans="1:9" s="92" customFormat="1" hidden="1" x14ac:dyDescent="0.25">
      <c r="A22" s="341">
        <v>136</v>
      </c>
      <c r="B22" s="165">
        <v>0</v>
      </c>
      <c r="C22" s="165">
        <f>B22*6.2%+B22</f>
        <v>0</v>
      </c>
      <c r="D22" s="165"/>
      <c r="E22" s="165"/>
      <c r="F22" s="165"/>
      <c r="G22" s="165"/>
      <c r="H22" s="165">
        <f>C22*5.9%+C22</f>
        <v>0</v>
      </c>
      <c r="I22" s="441">
        <f>H22*5.4%+H22</f>
        <v>0</v>
      </c>
    </row>
    <row r="23" spans="1:9" s="18" customFormat="1" hidden="1" x14ac:dyDescent="0.25">
      <c r="A23" s="341"/>
      <c r="B23" s="91"/>
      <c r="C23" s="165"/>
      <c r="D23" s="165"/>
      <c r="E23" s="165"/>
      <c r="F23" s="165"/>
      <c r="G23" s="165"/>
      <c r="H23" s="165"/>
      <c r="I23" s="441">
        <f>H23*5.4%+H23</f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44">
        <f>SUM(C21:C23)</f>
        <v>0</v>
      </c>
      <c r="D24" s="44"/>
      <c r="E24" s="44"/>
      <c r="F24" s="44"/>
      <c r="G24" s="44"/>
      <c r="H24" s="44">
        <f>SUM(H21:H23)</f>
        <v>0</v>
      </c>
      <c r="I24" s="441">
        <f>H24*5.4%+H24</f>
        <v>0</v>
      </c>
    </row>
    <row r="25" spans="1:9" s="134" customFormat="1" x14ac:dyDescent="0.25">
      <c r="A25" s="343"/>
      <c r="B25" s="44"/>
      <c r="C25" s="44"/>
      <c r="D25" s="44"/>
      <c r="E25" s="44"/>
      <c r="F25" s="44"/>
      <c r="G25" s="44"/>
      <c r="H25" s="44"/>
      <c r="I25" s="441"/>
    </row>
    <row r="26" spans="1:9" ht="15.75" thickBot="1" x14ac:dyDescent="0.3">
      <c r="A26" s="390" t="s">
        <v>48</v>
      </c>
      <c r="B26" s="391">
        <f>B9+B16+B19+B24</f>
        <v>50000</v>
      </c>
      <c r="C26" s="391">
        <f>C9+C16+C19+C24</f>
        <v>53125</v>
      </c>
      <c r="D26" s="391">
        <f t="shared" ref="D26:E26" si="2">D9+D16+D19+D24</f>
        <v>0</v>
      </c>
      <c r="E26" s="391">
        <f t="shared" si="2"/>
        <v>53125</v>
      </c>
      <c r="F26" s="391">
        <f t="shared" ref="F26:G26" si="3">F9+F16+F19+F24</f>
        <v>-53125</v>
      </c>
      <c r="G26" s="391">
        <f t="shared" si="3"/>
        <v>0</v>
      </c>
      <c r="H26" s="391">
        <f>H9+H16+H19+H24</f>
        <v>56445.3125</v>
      </c>
      <c r="I26" s="401">
        <f>I9+I16+I19+I24</f>
        <v>59973.14453125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&amp;A&amp;RPage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I26"/>
  <sheetViews>
    <sheetView view="pageBreakPreview" zoomScale="80" zoomScaleNormal="100" zoomScaleSheetLayoutView="80" workbookViewId="0">
      <selection activeCell="F20" sqref="F20"/>
    </sheetView>
  </sheetViews>
  <sheetFormatPr defaultColWidth="9.28515625" defaultRowHeight="15" x14ac:dyDescent="0.25"/>
  <cols>
    <col min="1" max="1" width="29.28515625" style="19" customWidth="1"/>
    <col min="2" max="2" width="15.42578125" style="63" hidden="1" customWidth="1"/>
    <col min="3" max="7" width="14.85546875" style="63" customWidth="1"/>
    <col min="8" max="8" width="15.28515625" style="63" customWidth="1"/>
    <col min="9" max="9" width="13" style="19" customWidth="1"/>
    <col min="10" max="16384" width="9.28515625" style="19"/>
  </cols>
  <sheetData>
    <row r="1" spans="1:9" s="18" customFormat="1" ht="18.75" x14ac:dyDescent="0.3">
      <c r="A1" s="15" t="s">
        <v>509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39" customHeight="1" thickBot="1" x14ac:dyDescent="0.3">
      <c r="A3" s="405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8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9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9"/>
    </row>
    <row r="17" spans="1:9" hidden="1" x14ac:dyDescent="0.25">
      <c r="A17" s="60"/>
      <c r="B17" s="44"/>
      <c r="C17" s="44"/>
      <c r="D17" s="44"/>
      <c r="E17" s="44"/>
      <c r="F17" s="44"/>
      <c r="G17" s="44"/>
      <c r="H17" s="44"/>
      <c r="I17" s="438"/>
    </row>
    <row r="18" spans="1:9" s="18" customFormat="1" x14ac:dyDescent="0.25">
      <c r="A18" s="50" t="s">
        <v>316</v>
      </c>
      <c r="B18" s="165">
        <v>250000</v>
      </c>
      <c r="C18" s="165">
        <f t="shared" ref="C18:I19" si="0">B18*6.25%+B18</f>
        <v>265625</v>
      </c>
      <c r="D18" s="165"/>
      <c r="E18" s="165">
        <f>C18-D18</f>
        <v>265625</v>
      </c>
      <c r="F18" s="165">
        <f>-E18</f>
        <v>-265625</v>
      </c>
      <c r="G18" s="165">
        <f>C18+F18</f>
        <v>0</v>
      </c>
      <c r="H18" s="165">
        <f>C18*6.25%+C18</f>
        <v>282226.5625</v>
      </c>
      <c r="I18" s="440">
        <f t="shared" si="0"/>
        <v>299865.72265625</v>
      </c>
    </row>
    <row r="19" spans="1:9" s="18" customFormat="1" x14ac:dyDescent="0.25">
      <c r="A19" s="50" t="s">
        <v>20</v>
      </c>
      <c r="B19" s="51">
        <v>20000</v>
      </c>
      <c r="C19" s="165">
        <f t="shared" si="0"/>
        <v>21250</v>
      </c>
      <c r="D19" s="165"/>
      <c r="E19" s="165">
        <f>C19-D19</f>
        <v>21250</v>
      </c>
      <c r="F19" s="165">
        <f>-E19</f>
        <v>-21250</v>
      </c>
      <c r="G19" s="165">
        <f>C19+F19</f>
        <v>0</v>
      </c>
      <c r="H19" s="165">
        <f>C19*6.25%+C19</f>
        <v>22578.125</v>
      </c>
      <c r="I19" s="440">
        <f t="shared" si="0"/>
        <v>23989.2578125</v>
      </c>
    </row>
    <row r="20" spans="1:9" s="134" customFormat="1" x14ac:dyDescent="0.25">
      <c r="A20" s="342" t="s">
        <v>43</v>
      </c>
      <c r="B20" s="44">
        <f>SUM(B18:B19)</f>
        <v>270000</v>
      </c>
      <c r="C20" s="44">
        <f>SUM(C18:C19)</f>
        <v>286875</v>
      </c>
      <c r="D20" s="44">
        <f t="shared" ref="D20:E20" si="1">SUM(D18:D19)</f>
        <v>0</v>
      </c>
      <c r="E20" s="44">
        <f t="shared" si="1"/>
        <v>286875</v>
      </c>
      <c r="F20" s="44">
        <f t="shared" ref="F20:G20" si="2">SUM(F18:F19)</f>
        <v>-286875</v>
      </c>
      <c r="G20" s="44">
        <f t="shared" si="2"/>
        <v>0</v>
      </c>
      <c r="H20" s="44">
        <f>SUM(H18:H19)</f>
        <v>304804.6875</v>
      </c>
      <c r="I20" s="400">
        <f>SUM(I18:I19)</f>
        <v>323854.98046875</v>
      </c>
    </row>
    <row r="21" spans="1:9" s="18" customFormat="1" x14ac:dyDescent="0.25">
      <c r="A21" s="398"/>
      <c r="B21" s="51"/>
      <c r="C21" s="51"/>
      <c r="D21" s="51"/>
      <c r="E21" s="51"/>
      <c r="F21" s="51"/>
      <c r="G21" s="51"/>
      <c r="H21" s="44"/>
      <c r="I21" s="441">
        <f>H21*5.4%+H21</f>
        <v>0</v>
      </c>
    </row>
    <row r="22" spans="1:9" s="18" customFormat="1" hidden="1" x14ac:dyDescent="0.25">
      <c r="A22" s="341">
        <v>137</v>
      </c>
      <c r="B22" s="165"/>
      <c r="C22" s="165">
        <f>B22*6.2%+B22</f>
        <v>0</v>
      </c>
      <c r="D22" s="165"/>
      <c r="E22" s="165"/>
      <c r="F22" s="165"/>
      <c r="G22" s="165"/>
      <c r="H22" s="205">
        <f>C22*5.9%+C22</f>
        <v>0</v>
      </c>
      <c r="I22" s="441">
        <f>H22*5.4%+H22</f>
        <v>0</v>
      </c>
    </row>
    <row r="23" spans="1:9" s="18" customFormat="1" hidden="1" x14ac:dyDescent="0.25">
      <c r="A23" s="341">
        <v>137</v>
      </c>
      <c r="B23" s="165"/>
      <c r="C23" s="165">
        <f>B23*6.2%+B23</f>
        <v>0</v>
      </c>
      <c r="D23" s="165"/>
      <c r="E23" s="165"/>
      <c r="F23" s="165"/>
      <c r="G23" s="165"/>
      <c r="H23" s="205">
        <f>C23*5.9%+C23</f>
        <v>0</v>
      </c>
      <c r="I23" s="441">
        <f>H23*5.4%+H23</f>
        <v>0</v>
      </c>
    </row>
    <row r="24" spans="1:9" s="18" customFormat="1" hidden="1" x14ac:dyDescent="0.25">
      <c r="A24" s="341">
        <v>137</v>
      </c>
      <c r="B24" s="165"/>
      <c r="C24" s="165">
        <f>B24*6.2%+B24</f>
        <v>0</v>
      </c>
      <c r="D24" s="165"/>
      <c r="E24" s="165"/>
      <c r="F24" s="165"/>
      <c r="G24" s="165"/>
      <c r="H24" s="205">
        <f>C24*5.9%+C24</f>
        <v>0</v>
      </c>
      <c r="I24" s="441">
        <f>H24*5.4%+H24</f>
        <v>0</v>
      </c>
    </row>
    <row r="25" spans="1:9" s="134" customFormat="1" hidden="1" x14ac:dyDescent="0.25">
      <c r="A25" s="343" t="s">
        <v>42</v>
      </c>
      <c r="B25" s="44">
        <f>SUM(B22:B24)</f>
        <v>0</v>
      </c>
      <c r="C25" s="44">
        <f>SUM(C22:C24)</f>
        <v>0</v>
      </c>
      <c r="D25" s="44"/>
      <c r="E25" s="44"/>
      <c r="F25" s="44"/>
      <c r="G25" s="44"/>
      <c r="H25" s="44">
        <f>SUM(H22:H24)</f>
        <v>0</v>
      </c>
      <c r="I25" s="441">
        <f>H25*5.4%+H25</f>
        <v>0</v>
      </c>
    </row>
    <row r="26" spans="1:9" ht="15.75" thickBot="1" x14ac:dyDescent="0.3">
      <c r="A26" s="390" t="s">
        <v>48</v>
      </c>
      <c r="B26" s="391">
        <f>B9+B16+B20+B25</f>
        <v>270000</v>
      </c>
      <c r="C26" s="391">
        <f>C9+C16+C20+C25</f>
        <v>286875</v>
      </c>
      <c r="D26" s="391">
        <f t="shared" ref="D26:E26" si="3">D9+D16+D20+D25</f>
        <v>0</v>
      </c>
      <c r="E26" s="391">
        <f t="shared" si="3"/>
        <v>286875</v>
      </c>
      <c r="F26" s="391">
        <f t="shared" ref="F26:G26" si="4">F9+F16+F20+F25</f>
        <v>-286875</v>
      </c>
      <c r="G26" s="391">
        <f t="shared" si="4"/>
        <v>0</v>
      </c>
      <c r="H26" s="391">
        <f>H9+H16+H20+H25</f>
        <v>304804.6875</v>
      </c>
      <c r="I26" s="401">
        <f>I9+I16+I20+I25</f>
        <v>323854.98046875</v>
      </c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view="pageBreakPreview" zoomScale="98" zoomScaleNormal="98" zoomScaleSheetLayoutView="98" zoomScalePageLayoutView="70" workbookViewId="0">
      <pane xSplit="1" ySplit="2" topLeftCell="E62" activePane="bottomRight" state="frozen"/>
      <selection pane="topRight" activeCell="B1" sqref="B1"/>
      <selection pane="bottomLeft" activeCell="A3" sqref="A3"/>
      <selection pane="bottomRight" activeCell="K7" sqref="K7"/>
    </sheetView>
  </sheetViews>
  <sheetFormatPr defaultColWidth="9.140625" defaultRowHeight="15.75" x14ac:dyDescent="0.25"/>
  <cols>
    <col min="1" max="1" width="26.7109375" style="512" customWidth="1"/>
    <col min="2" max="2" width="18.85546875" style="514" customWidth="1"/>
    <col min="3" max="3" width="18.42578125" style="512" customWidth="1"/>
    <col min="4" max="4" width="20.28515625" style="512" customWidth="1"/>
    <col min="5" max="5" width="15.28515625" style="512" customWidth="1"/>
    <col min="6" max="6" width="18.140625" style="512" customWidth="1"/>
    <col min="7" max="7" width="14.7109375" style="512" customWidth="1"/>
    <col min="8" max="11" width="15.7109375" style="512" customWidth="1"/>
    <col min="12" max="12" width="17.85546875" style="512" customWidth="1"/>
    <col min="13" max="13" width="24.28515625" style="599" customWidth="1"/>
    <col min="14" max="16384" width="9.140625" style="744"/>
  </cols>
  <sheetData>
    <row r="1" spans="1:13" s="5" customFormat="1" ht="27" thickBot="1" x14ac:dyDescent="0.45">
      <c r="A1" s="904" t="s">
        <v>893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598"/>
    </row>
    <row r="2" spans="1:13" s="325" customFormat="1" ht="48.75" customHeight="1" thickBot="1" x14ac:dyDescent="0.3">
      <c r="A2" s="591" t="s">
        <v>89</v>
      </c>
      <c r="B2" s="865" t="s">
        <v>423</v>
      </c>
      <c r="C2" s="594" t="s">
        <v>422</v>
      </c>
      <c r="D2" s="594" t="s">
        <v>912</v>
      </c>
      <c r="E2" s="595" t="s">
        <v>425</v>
      </c>
      <c r="F2" s="595" t="s">
        <v>77</v>
      </c>
      <c r="G2" s="595" t="s">
        <v>426</v>
      </c>
      <c r="H2" s="595" t="s">
        <v>913</v>
      </c>
      <c r="I2" s="595" t="s">
        <v>914</v>
      </c>
      <c r="J2" s="595" t="s">
        <v>911</v>
      </c>
      <c r="K2" s="595" t="s">
        <v>915</v>
      </c>
      <c r="L2" s="597" t="s">
        <v>442</v>
      </c>
      <c r="M2" s="599"/>
    </row>
    <row r="3" spans="1:13" x14ac:dyDescent="0.25">
      <c r="A3" s="485"/>
      <c r="B3" s="486"/>
      <c r="C3" s="486"/>
      <c r="D3" s="486"/>
      <c r="E3" s="486"/>
      <c r="F3" s="487"/>
      <c r="G3" s="487"/>
      <c r="H3" s="487"/>
      <c r="I3" s="487"/>
      <c r="J3" s="487"/>
      <c r="K3" s="487"/>
      <c r="L3" s="486"/>
    </row>
    <row r="4" spans="1:13" s="471" customFormat="1" x14ac:dyDescent="0.25">
      <c r="A4" s="490" t="s">
        <v>90</v>
      </c>
      <c r="B4" s="491">
        <f>COUNCIL!G24</f>
        <v>19596420.78125</v>
      </c>
      <c r="C4" s="491"/>
      <c r="D4" s="491"/>
      <c r="E4" s="491"/>
      <c r="F4" s="491"/>
      <c r="G4" s="491"/>
      <c r="H4" s="491"/>
      <c r="I4" s="491"/>
      <c r="J4" s="491"/>
      <c r="K4" s="491"/>
      <c r="L4" s="491">
        <f>SUM(B4:J4)</f>
        <v>19596420.78125</v>
      </c>
      <c r="M4" s="600"/>
    </row>
    <row r="5" spans="1:13" s="76" customFormat="1" x14ac:dyDescent="0.25">
      <c r="A5" s="494" t="s">
        <v>91</v>
      </c>
      <c r="B5" s="495">
        <f>MM!G44</f>
        <v>41194285.262500003</v>
      </c>
      <c r="C5" s="495"/>
      <c r="D5" s="495"/>
      <c r="E5" s="491"/>
      <c r="F5" s="495"/>
      <c r="G5" s="495"/>
      <c r="H5" s="495"/>
      <c r="I5" s="495"/>
      <c r="J5" s="495"/>
      <c r="K5" s="495"/>
      <c r="L5" s="491">
        <f t="shared" ref="L5:L17" si="0">SUM(B5:J5)</f>
        <v>41194285.262500003</v>
      </c>
      <c r="M5" s="599"/>
    </row>
    <row r="6" spans="1:13" x14ac:dyDescent="0.25">
      <c r="A6" s="494" t="s">
        <v>92</v>
      </c>
      <c r="B6" s="495">
        <f>SUMMARY!L6</f>
        <v>9425213.2874999996</v>
      </c>
      <c r="C6" s="495"/>
      <c r="D6" s="495"/>
      <c r="E6" s="491"/>
      <c r="F6" s="495"/>
      <c r="G6" s="495"/>
      <c r="H6" s="495"/>
      <c r="I6" s="495"/>
      <c r="J6" s="495"/>
      <c r="K6" s="495"/>
      <c r="L6" s="491">
        <f t="shared" si="0"/>
        <v>9425213.2874999996</v>
      </c>
    </row>
    <row r="7" spans="1:13" x14ac:dyDescent="0.25">
      <c r="A7" s="490" t="s">
        <v>401</v>
      </c>
      <c r="B7" s="495">
        <f>CFO!G39-CFO!G6</f>
        <v>12342454.2775</v>
      </c>
      <c r="C7" s="495"/>
      <c r="D7" s="495"/>
      <c r="E7" s="491">
        <f>CFO!F6</f>
        <v>600000</v>
      </c>
      <c r="F7" s="495"/>
      <c r="G7" s="495"/>
      <c r="H7" s="495"/>
      <c r="I7" s="495"/>
      <c r="J7" s="495"/>
      <c r="K7" s="883">
        <v>132000000</v>
      </c>
      <c r="L7" s="491">
        <f>SUM(B7:K7)</f>
        <v>144942454.2775</v>
      </c>
    </row>
    <row r="8" spans="1:13" x14ac:dyDescent="0.25">
      <c r="A8" s="490" t="s">
        <v>405</v>
      </c>
      <c r="B8" s="495">
        <f>SUMMARY!L8</f>
        <v>6475739.75</v>
      </c>
      <c r="C8" s="495"/>
      <c r="D8" s="495"/>
      <c r="E8" s="491"/>
      <c r="F8" s="495"/>
      <c r="G8" s="495"/>
      <c r="H8" s="495"/>
      <c r="I8" s="495"/>
      <c r="J8" s="495"/>
      <c r="K8" s="495"/>
      <c r="L8" s="491">
        <f t="shared" si="0"/>
        <v>6475739.75</v>
      </c>
    </row>
    <row r="9" spans="1:13" x14ac:dyDescent="0.25">
      <c r="A9" s="490" t="s">
        <v>402</v>
      </c>
      <c r="B9" s="495">
        <f>SUMMARY!L9</f>
        <v>13432855.885</v>
      </c>
      <c r="C9" s="495"/>
      <c r="D9" s="495"/>
      <c r="E9" s="491"/>
      <c r="F9" s="495"/>
      <c r="G9" s="495"/>
      <c r="H9" s="495"/>
      <c r="I9" s="495"/>
      <c r="J9" s="495"/>
      <c r="K9" s="495"/>
      <c r="L9" s="491">
        <f t="shared" si="0"/>
        <v>13432855.885</v>
      </c>
    </row>
    <row r="10" spans="1:13" x14ac:dyDescent="0.25">
      <c r="A10" s="490" t="s">
        <v>403</v>
      </c>
      <c r="B10" s="495">
        <f>SUMMARY!L10-E10</f>
        <v>23721295.875</v>
      </c>
      <c r="C10" s="495"/>
      <c r="D10" s="495"/>
      <c r="E10" s="491">
        <v>442000</v>
      </c>
      <c r="F10" s="495"/>
      <c r="G10" s="495"/>
      <c r="H10" s="495"/>
      <c r="I10" s="495"/>
      <c r="J10" s="495"/>
      <c r="K10" s="495"/>
      <c r="L10" s="491">
        <f t="shared" si="0"/>
        <v>24163295.875</v>
      </c>
    </row>
    <row r="11" spans="1:13" x14ac:dyDescent="0.25">
      <c r="A11" s="490" t="s">
        <v>404</v>
      </c>
      <c r="B11" s="495">
        <f>SUMMARY!L11-E11</f>
        <v>6951064.1875</v>
      </c>
      <c r="C11" s="495"/>
      <c r="D11" s="495"/>
      <c r="E11" s="491">
        <v>500000</v>
      </c>
      <c r="F11" s="495"/>
      <c r="G11" s="495"/>
      <c r="H11" s="495"/>
      <c r="I11" s="495"/>
      <c r="J11" s="495"/>
      <c r="K11" s="495"/>
      <c r="L11" s="491">
        <f t="shared" si="0"/>
        <v>7451064.1875</v>
      </c>
    </row>
    <row r="12" spans="1:13" s="9" customFormat="1" x14ac:dyDescent="0.25">
      <c r="A12" s="490" t="s">
        <v>400</v>
      </c>
      <c r="B12" s="491">
        <f>SUMMARY!L12</f>
        <v>20171245</v>
      </c>
      <c r="C12" s="491"/>
      <c r="D12" s="491"/>
      <c r="E12" s="491"/>
      <c r="F12" s="491"/>
      <c r="G12" s="491"/>
      <c r="H12" s="491"/>
      <c r="I12" s="491"/>
      <c r="J12" s="491"/>
      <c r="K12" s="491"/>
      <c r="L12" s="491">
        <f t="shared" si="0"/>
        <v>20171245</v>
      </c>
      <c r="M12" s="600"/>
    </row>
    <row r="13" spans="1:13" s="9" customFormat="1" x14ac:dyDescent="0.25">
      <c r="A13" s="490" t="s">
        <v>93</v>
      </c>
      <c r="B13" s="491">
        <f>SUMMARY!L13</f>
        <v>2478991.58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>
        <f t="shared" si="0"/>
        <v>2478991.58</v>
      </c>
      <c r="M13" s="600"/>
    </row>
    <row r="14" spans="1:13" s="9" customFormat="1" x14ac:dyDescent="0.25">
      <c r="A14" s="490" t="s">
        <v>576</v>
      </c>
      <c r="B14" s="491">
        <f>SUMMARY!L14</f>
        <v>4361126.1875</v>
      </c>
      <c r="C14" s="491"/>
      <c r="D14" s="491"/>
      <c r="E14" s="491"/>
      <c r="F14" s="491"/>
      <c r="G14" s="491"/>
      <c r="H14" s="491"/>
      <c r="I14" s="491"/>
      <c r="J14" s="491"/>
      <c r="K14" s="491"/>
      <c r="L14" s="491">
        <f t="shared" si="0"/>
        <v>4361126.1875</v>
      </c>
      <c r="M14" s="600"/>
    </row>
    <row r="15" spans="1:13" s="9" customFormat="1" x14ac:dyDescent="0.25">
      <c r="A15" s="490" t="s">
        <v>577</v>
      </c>
      <c r="B15" s="491">
        <f>SUMMARY!L15</f>
        <v>5918647.875</v>
      </c>
      <c r="C15" s="491"/>
      <c r="D15" s="491"/>
      <c r="E15" s="491"/>
      <c r="F15" s="491"/>
      <c r="G15" s="491"/>
      <c r="H15" s="491"/>
      <c r="I15" s="491"/>
      <c r="J15" s="491"/>
      <c r="K15" s="491"/>
      <c r="L15" s="491">
        <f t="shared" si="0"/>
        <v>5918647.875</v>
      </c>
      <c r="M15" s="600"/>
    </row>
    <row r="16" spans="1:13" s="9" customFormat="1" x14ac:dyDescent="0.25">
      <c r="A16" s="490" t="s">
        <v>94</v>
      </c>
      <c r="B16" s="491">
        <f>SUMMARY!L16-'Source of Funding'!F16</f>
        <v>7951236.2025000006</v>
      </c>
      <c r="C16" s="491"/>
      <c r="D16" s="491"/>
      <c r="E16" s="491"/>
      <c r="F16" s="491">
        <v>9433000</v>
      </c>
      <c r="G16" s="491"/>
      <c r="H16" s="491"/>
      <c r="I16" s="491"/>
      <c r="J16" s="491"/>
      <c r="K16" s="491"/>
      <c r="L16" s="491">
        <f t="shared" si="0"/>
        <v>17384236.202500001</v>
      </c>
      <c r="M16" s="600"/>
    </row>
    <row r="17" spans="1:13" s="9" customFormat="1" x14ac:dyDescent="0.25">
      <c r="A17" s="490" t="s">
        <v>95</v>
      </c>
      <c r="B17" s="491">
        <f>SUMMARY!L17</f>
        <v>3240776.75</v>
      </c>
      <c r="C17" s="491"/>
      <c r="D17" s="491"/>
      <c r="E17" s="491"/>
      <c r="F17" s="491"/>
      <c r="G17" s="491"/>
      <c r="H17" s="491"/>
      <c r="I17" s="491"/>
      <c r="J17" s="491"/>
      <c r="K17" s="491"/>
      <c r="L17" s="491">
        <f t="shared" si="0"/>
        <v>3240776.75</v>
      </c>
      <c r="M17" s="600"/>
    </row>
    <row r="18" spans="1:13" s="9" customFormat="1" x14ac:dyDescent="0.25">
      <c r="A18" s="490" t="s">
        <v>96</v>
      </c>
      <c r="B18" s="491">
        <f>SUMMARY!L18</f>
        <v>6730510.8250000002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>
        <f>SUM(B18:K18)</f>
        <v>6730510.8250000002</v>
      </c>
      <c r="M18" s="600"/>
    </row>
    <row r="19" spans="1:13" s="9" customFormat="1" x14ac:dyDescent="0.25">
      <c r="A19" s="490" t="s">
        <v>161</v>
      </c>
      <c r="B19" s="491">
        <f>ENGINEERING!G35-ENGINEERING!G29</f>
        <v>6070875.0175000001</v>
      </c>
      <c r="C19" s="491"/>
      <c r="D19" s="491"/>
      <c r="E19" s="491"/>
      <c r="F19" s="491"/>
      <c r="G19" s="491">
        <v>2225000</v>
      </c>
      <c r="H19" s="491"/>
      <c r="I19" s="491"/>
      <c r="J19" s="491"/>
      <c r="K19" s="491"/>
      <c r="L19" s="491">
        <f t="shared" ref="L19:L82" si="1">SUM(B19:K19)</f>
        <v>8295875.0175000001</v>
      </c>
      <c r="M19" s="600"/>
    </row>
    <row r="20" spans="1:13" s="9" customFormat="1" x14ac:dyDescent="0.25">
      <c r="A20" s="490" t="s">
        <v>97</v>
      </c>
      <c r="B20" s="491">
        <f>SUMMARY!L20-'Source of Funding'!D20-'Source of Funding'!H20-'Source of Funding'!I20-'Source of Funding'!J20-K20</f>
        <v>789497880.95000005</v>
      </c>
      <c r="C20" s="491"/>
      <c r="D20" s="491">
        <f>45000000+18032986</f>
        <v>63032986</v>
      </c>
      <c r="E20" s="491"/>
      <c r="F20" s="491"/>
      <c r="G20" s="491"/>
      <c r="H20" s="491">
        <v>36090000</v>
      </c>
      <c r="I20" s="491">
        <v>50000000</v>
      </c>
      <c r="J20" s="491">
        <v>45000000</v>
      </c>
      <c r="K20" s="491">
        <v>17854760</v>
      </c>
      <c r="L20" s="491">
        <f t="shared" si="1"/>
        <v>1001475626.95</v>
      </c>
      <c r="M20" s="600"/>
    </row>
    <row r="21" spans="1:13" s="9" customFormat="1" x14ac:dyDescent="0.25">
      <c r="A21" s="490" t="s">
        <v>98</v>
      </c>
      <c r="B21" s="491">
        <f>SUMMARY!L21</f>
        <v>32924730.375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>
        <f t="shared" si="1"/>
        <v>32924730.375</v>
      </c>
      <c r="M21" s="600"/>
    </row>
    <row r="22" spans="1:13" s="9" customFormat="1" x14ac:dyDescent="0.25">
      <c r="A22" s="490" t="s">
        <v>99</v>
      </c>
      <c r="B22" s="491">
        <f>SUMMARY!L22</f>
        <v>1798633.125</v>
      </c>
      <c r="C22" s="491"/>
      <c r="D22" s="491"/>
      <c r="E22" s="491"/>
      <c r="F22" s="491"/>
      <c r="G22" s="491"/>
      <c r="H22" s="491"/>
      <c r="I22" s="491"/>
      <c r="J22" s="491"/>
      <c r="K22" s="491"/>
      <c r="L22" s="491">
        <f t="shared" si="1"/>
        <v>1798633.125</v>
      </c>
      <c r="M22" s="600"/>
    </row>
    <row r="23" spans="1:13" s="9" customFormat="1" x14ac:dyDescent="0.25">
      <c r="A23" s="490" t="s">
        <v>100</v>
      </c>
      <c r="B23" s="491">
        <f>SUMMARY!L23</f>
        <v>6042123.6900000004</v>
      </c>
      <c r="C23" s="491"/>
      <c r="D23" s="491"/>
      <c r="E23" s="491"/>
      <c r="F23" s="491"/>
      <c r="G23" s="491"/>
      <c r="H23" s="491"/>
      <c r="I23" s="491"/>
      <c r="J23" s="491"/>
      <c r="K23" s="491"/>
      <c r="L23" s="491">
        <f t="shared" si="1"/>
        <v>6042123.6900000004</v>
      </c>
      <c r="M23" s="600"/>
    </row>
    <row r="24" spans="1:13" s="9" customFormat="1" x14ac:dyDescent="0.25">
      <c r="A24" s="490" t="s">
        <v>101</v>
      </c>
      <c r="B24" s="491">
        <f>SUMMARY!L24</f>
        <v>13073162.515000001</v>
      </c>
      <c r="C24" s="491"/>
      <c r="D24" s="491"/>
      <c r="E24" s="491"/>
      <c r="F24" s="491"/>
      <c r="G24" s="491"/>
      <c r="H24" s="491"/>
      <c r="I24" s="491"/>
      <c r="J24" s="491"/>
      <c r="K24" s="491"/>
      <c r="L24" s="491">
        <f t="shared" si="1"/>
        <v>13073162.515000001</v>
      </c>
      <c r="M24" s="600"/>
    </row>
    <row r="25" spans="1:13" s="9" customFormat="1" x14ac:dyDescent="0.25">
      <c r="A25" s="490" t="s">
        <v>347</v>
      </c>
      <c r="B25" s="491">
        <f>SUMMARY!L25</f>
        <v>36515354.799999997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>
        <f t="shared" si="1"/>
        <v>36515354.799999997</v>
      </c>
      <c r="M25" s="600"/>
    </row>
    <row r="26" spans="1:13" s="9" customFormat="1" x14ac:dyDescent="0.25">
      <c r="A26" s="490" t="s">
        <v>348</v>
      </c>
      <c r="B26" s="491">
        <f>SUMMARY!L26</f>
        <v>11723598.875</v>
      </c>
      <c r="C26" s="491"/>
      <c r="D26" s="491"/>
      <c r="E26" s="491"/>
      <c r="F26" s="491"/>
      <c r="G26" s="491"/>
      <c r="H26" s="491"/>
      <c r="I26" s="491"/>
      <c r="J26" s="491"/>
      <c r="K26" s="491"/>
      <c r="L26" s="491">
        <f t="shared" si="1"/>
        <v>11723598.875</v>
      </c>
      <c r="M26" s="600"/>
    </row>
    <row r="27" spans="1:13" s="9" customFormat="1" x14ac:dyDescent="0.25">
      <c r="A27" s="490" t="s">
        <v>349</v>
      </c>
      <c r="B27" s="491">
        <f>SUMMARY!L27</f>
        <v>17429322.6875</v>
      </c>
      <c r="C27" s="491"/>
      <c r="D27" s="491"/>
      <c r="E27" s="491"/>
      <c r="F27" s="491"/>
      <c r="G27" s="491"/>
      <c r="H27" s="491"/>
      <c r="I27" s="491"/>
      <c r="J27" s="491"/>
      <c r="K27" s="491"/>
      <c r="L27" s="491">
        <f t="shared" si="1"/>
        <v>17429322.6875</v>
      </c>
      <c r="M27" s="600"/>
    </row>
    <row r="28" spans="1:13" s="9" customFormat="1" x14ac:dyDescent="0.25">
      <c r="A28" s="490" t="s">
        <v>350</v>
      </c>
      <c r="B28" s="491">
        <f>SUMMARY!L28</f>
        <v>18351615</v>
      </c>
      <c r="C28" s="491"/>
      <c r="D28" s="491"/>
      <c r="E28" s="491"/>
      <c r="F28" s="491"/>
      <c r="G28" s="491"/>
      <c r="H28" s="491"/>
      <c r="I28" s="491"/>
      <c r="J28" s="491"/>
      <c r="K28" s="491"/>
      <c r="L28" s="491">
        <f t="shared" si="1"/>
        <v>18351615</v>
      </c>
      <c r="M28" s="600"/>
    </row>
    <row r="29" spans="1:13" s="9" customFormat="1" x14ac:dyDescent="0.25">
      <c r="A29" s="490" t="s">
        <v>351</v>
      </c>
      <c r="B29" s="491">
        <f>SUMMARY!L29</f>
        <v>10159584</v>
      </c>
      <c r="C29" s="491"/>
      <c r="D29" s="491"/>
      <c r="E29" s="491"/>
      <c r="F29" s="491"/>
      <c r="G29" s="491"/>
      <c r="H29" s="491"/>
      <c r="I29" s="491"/>
      <c r="J29" s="491"/>
      <c r="K29" s="491"/>
      <c r="L29" s="491">
        <f t="shared" si="1"/>
        <v>10159584</v>
      </c>
      <c r="M29" s="600"/>
    </row>
    <row r="30" spans="1:13" s="9" customFormat="1" x14ac:dyDescent="0.25">
      <c r="A30" s="490" t="s">
        <v>102</v>
      </c>
      <c r="B30" s="491">
        <f>SUMMARY!L30</f>
        <v>35363588</v>
      </c>
      <c r="C30" s="491"/>
      <c r="D30" s="491"/>
      <c r="E30" s="491"/>
      <c r="F30" s="491"/>
      <c r="G30" s="491"/>
      <c r="H30" s="491"/>
      <c r="I30" s="491"/>
      <c r="J30" s="491"/>
      <c r="K30" s="491"/>
      <c r="L30" s="491">
        <f t="shared" si="1"/>
        <v>35363588</v>
      </c>
      <c r="M30" s="600"/>
    </row>
    <row r="31" spans="1:13" s="9" customFormat="1" x14ac:dyDescent="0.25">
      <c r="A31" s="490" t="s">
        <v>103</v>
      </c>
      <c r="B31" s="491">
        <f>SUMMARY!L31</f>
        <v>2687987.1</v>
      </c>
      <c r="C31" s="491"/>
      <c r="D31" s="491"/>
      <c r="E31" s="491"/>
      <c r="F31" s="491"/>
      <c r="G31" s="491"/>
      <c r="H31" s="491"/>
      <c r="I31" s="491"/>
      <c r="J31" s="491"/>
      <c r="K31" s="491"/>
      <c r="L31" s="491">
        <f t="shared" si="1"/>
        <v>2687987.1</v>
      </c>
      <c r="M31" s="600"/>
    </row>
    <row r="32" spans="1:13" s="9" customFormat="1" x14ac:dyDescent="0.25">
      <c r="A32" s="490" t="s">
        <v>104</v>
      </c>
      <c r="B32" s="491">
        <f>SUMMARY!L32-'Source of Funding'!E32</f>
        <v>22446393.465</v>
      </c>
      <c r="C32" s="491"/>
      <c r="D32" s="491"/>
      <c r="E32" s="491">
        <f>20000+200000+50000</f>
        <v>270000</v>
      </c>
      <c r="F32" s="491"/>
      <c r="G32" s="491"/>
      <c r="H32" s="491"/>
      <c r="I32" s="491"/>
      <c r="J32" s="491"/>
      <c r="K32" s="491"/>
      <c r="L32" s="491">
        <f t="shared" si="1"/>
        <v>22716393.465</v>
      </c>
      <c r="M32" s="600"/>
    </row>
    <row r="33" spans="1:13" s="9" customFormat="1" x14ac:dyDescent="0.25">
      <c r="A33" s="490" t="s">
        <v>105</v>
      </c>
      <c r="B33" s="491">
        <f>SUMMARY!L33</f>
        <v>34076031.087499999</v>
      </c>
      <c r="C33" s="491"/>
      <c r="D33" s="491"/>
      <c r="E33" s="491"/>
      <c r="F33" s="491"/>
      <c r="G33" s="491"/>
      <c r="H33" s="491"/>
      <c r="I33" s="491"/>
      <c r="J33" s="491"/>
      <c r="K33" s="491"/>
      <c r="L33" s="491">
        <f t="shared" si="1"/>
        <v>34076031.087499999</v>
      </c>
      <c r="M33" s="600"/>
    </row>
    <row r="34" spans="1:13" s="9" customFormat="1" x14ac:dyDescent="0.25">
      <c r="A34" s="490" t="s">
        <v>106</v>
      </c>
      <c r="B34" s="491">
        <f>SUMMARY!L34</f>
        <v>14503342.6975</v>
      </c>
      <c r="C34" s="491"/>
      <c r="D34" s="491"/>
      <c r="E34" s="491"/>
      <c r="F34" s="491"/>
      <c r="G34" s="491"/>
      <c r="H34" s="491"/>
      <c r="I34" s="491"/>
      <c r="J34" s="491"/>
      <c r="K34" s="491"/>
      <c r="L34" s="491">
        <f t="shared" si="1"/>
        <v>14503342.6975</v>
      </c>
      <c r="M34" s="600"/>
    </row>
    <row r="35" spans="1:13" s="9" customFormat="1" x14ac:dyDescent="0.25">
      <c r="A35" s="490" t="s">
        <v>168</v>
      </c>
      <c r="B35" s="491">
        <f>SUMMARY!L35-E35</f>
        <v>22306431.675000001</v>
      </c>
      <c r="C35" s="491"/>
      <c r="D35" s="491"/>
      <c r="E35" s="491">
        <v>750000</v>
      </c>
      <c r="F35" s="491"/>
      <c r="G35" s="491"/>
      <c r="H35" s="491"/>
      <c r="I35" s="491"/>
      <c r="J35" s="491"/>
      <c r="K35" s="491"/>
      <c r="L35" s="491">
        <f t="shared" si="1"/>
        <v>23056431.675000001</v>
      </c>
      <c r="M35" s="600"/>
    </row>
    <row r="36" spans="1:13" s="9" customFormat="1" x14ac:dyDescent="0.25">
      <c r="A36" s="490" t="s">
        <v>107</v>
      </c>
      <c r="B36" s="491">
        <f>SUMMARY!L36</f>
        <v>8724053.0875000004</v>
      </c>
      <c r="C36" s="491"/>
      <c r="D36" s="491"/>
      <c r="E36" s="491"/>
      <c r="F36" s="491"/>
      <c r="G36" s="491"/>
      <c r="H36" s="491"/>
      <c r="I36" s="491"/>
      <c r="J36" s="491"/>
      <c r="K36" s="491"/>
      <c r="L36" s="491">
        <f t="shared" si="1"/>
        <v>8724053.0875000004</v>
      </c>
      <c r="M36" s="600"/>
    </row>
    <row r="37" spans="1:13" s="9" customFormat="1" x14ac:dyDescent="0.25">
      <c r="A37" s="490" t="s">
        <v>108</v>
      </c>
      <c r="B37" s="491">
        <f>SUMMARY!L37-E37</f>
        <v>11298673.65</v>
      </c>
      <c r="C37" s="491"/>
      <c r="D37" s="491"/>
      <c r="E37" s="491">
        <v>200000</v>
      </c>
      <c r="F37" s="491"/>
      <c r="G37" s="491"/>
      <c r="H37" s="491"/>
      <c r="I37" s="491"/>
      <c r="J37" s="491"/>
      <c r="K37" s="491"/>
      <c r="L37" s="491">
        <f t="shared" si="1"/>
        <v>11498673.65</v>
      </c>
      <c r="M37" s="600"/>
    </row>
    <row r="38" spans="1:13" s="9" customFormat="1" x14ac:dyDescent="0.25">
      <c r="A38" s="490" t="s">
        <v>109</v>
      </c>
      <c r="B38" s="491">
        <f>SUMMARY!L38</f>
        <v>753659.0625</v>
      </c>
      <c r="C38" s="491"/>
      <c r="D38" s="491"/>
      <c r="E38" s="491"/>
      <c r="F38" s="491"/>
      <c r="G38" s="491"/>
      <c r="H38" s="491"/>
      <c r="I38" s="491"/>
      <c r="J38" s="491"/>
      <c r="K38" s="491"/>
      <c r="L38" s="491">
        <f t="shared" si="1"/>
        <v>753659.0625</v>
      </c>
      <c r="M38" s="600"/>
    </row>
    <row r="39" spans="1:13" s="9" customFormat="1" x14ac:dyDescent="0.25">
      <c r="A39" s="490" t="s">
        <v>625</v>
      </c>
      <c r="B39" s="491">
        <f>SUMMARY!L39</f>
        <v>1880382.3125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>
        <f t="shared" si="1"/>
        <v>1880382.3125</v>
      </c>
      <c r="M39" s="600"/>
    </row>
    <row r="40" spans="1:13" s="9" customFormat="1" x14ac:dyDescent="0.25">
      <c r="A40" s="490" t="s">
        <v>110</v>
      </c>
      <c r="B40" s="491">
        <f>SUMMARY!L40</f>
        <v>1164077.125</v>
      </c>
      <c r="C40" s="491"/>
      <c r="D40" s="491"/>
      <c r="E40" s="491"/>
      <c r="F40" s="491"/>
      <c r="G40" s="491"/>
      <c r="H40" s="491"/>
      <c r="I40" s="491"/>
      <c r="J40" s="491"/>
      <c r="K40" s="491"/>
      <c r="L40" s="491">
        <f t="shared" si="1"/>
        <v>1164077.125</v>
      </c>
      <c r="M40" s="600"/>
    </row>
    <row r="41" spans="1:13" s="9" customFormat="1" x14ac:dyDescent="0.25">
      <c r="A41" s="490" t="s">
        <v>111</v>
      </c>
      <c r="B41" s="491">
        <f>SUMMARY!L41</f>
        <v>1355077.125</v>
      </c>
      <c r="C41" s="491"/>
      <c r="D41" s="491"/>
      <c r="E41" s="491"/>
      <c r="F41" s="491"/>
      <c r="G41" s="491"/>
      <c r="H41" s="491"/>
      <c r="I41" s="491"/>
      <c r="J41" s="491"/>
      <c r="K41" s="491"/>
      <c r="L41" s="491">
        <f t="shared" si="1"/>
        <v>1355077.125</v>
      </c>
      <c r="M41" s="600"/>
    </row>
    <row r="42" spans="1:13" s="9" customFormat="1" x14ac:dyDescent="0.25">
      <c r="A42" s="490" t="s">
        <v>112</v>
      </c>
      <c r="B42" s="491">
        <f>SUMMARY!L42</f>
        <v>2280745.375</v>
      </c>
      <c r="C42" s="491"/>
      <c r="D42" s="491"/>
      <c r="E42" s="491"/>
      <c r="F42" s="491"/>
      <c r="G42" s="491"/>
      <c r="H42" s="491"/>
      <c r="I42" s="491"/>
      <c r="J42" s="491"/>
      <c r="K42" s="491"/>
      <c r="L42" s="491">
        <f t="shared" si="1"/>
        <v>2280745.375</v>
      </c>
      <c r="M42" s="600"/>
    </row>
    <row r="43" spans="1:13" x14ac:dyDescent="0.25">
      <c r="A43" s="494" t="s">
        <v>128</v>
      </c>
      <c r="B43" s="495">
        <v>12636423</v>
      </c>
      <c r="C43" s="495">
        <f>SUMMARY!L43-B43</f>
        <v>584013550.09350002</v>
      </c>
      <c r="D43" s="495"/>
      <c r="E43" s="491"/>
      <c r="F43" s="491"/>
      <c r="G43" s="491"/>
      <c r="H43" s="491"/>
      <c r="I43" s="491"/>
      <c r="J43" s="491"/>
      <c r="K43" s="491"/>
      <c r="L43" s="491">
        <f t="shared" si="1"/>
        <v>596649973.09350002</v>
      </c>
    </row>
    <row r="44" spans="1:13" x14ac:dyDescent="0.25">
      <c r="A44" s="494" t="s">
        <v>321</v>
      </c>
      <c r="B44" s="495">
        <f>SUMMARY!L44</f>
        <v>127500</v>
      </c>
      <c r="C44" s="495"/>
      <c r="D44" s="495"/>
      <c r="E44" s="491"/>
      <c r="F44" s="491"/>
      <c r="G44" s="491"/>
      <c r="H44" s="495"/>
      <c r="I44" s="495"/>
      <c r="J44" s="495"/>
      <c r="K44" s="495"/>
      <c r="L44" s="491">
        <f t="shared" si="1"/>
        <v>127500</v>
      </c>
    </row>
    <row r="45" spans="1:13" hidden="1" x14ac:dyDescent="0.25">
      <c r="A45" s="494" t="s">
        <v>322</v>
      </c>
      <c r="B45" s="495">
        <f>'NAMAKGALE SEWAGE WORKS'!C9</f>
        <v>0</v>
      </c>
      <c r="C45" s="495"/>
      <c r="D45" s="495"/>
      <c r="E45" s="491"/>
      <c r="F45" s="491"/>
      <c r="G45" s="491"/>
      <c r="H45" s="495"/>
      <c r="I45" s="495"/>
      <c r="J45" s="495"/>
      <c r="K45" s="495"/>
      <c r="L45" s="491">
        <f t="shared" si="1"/>
        <v>0</v>
      </c>
    </row>
    <row r="46" spans="1:13" hidden="1" x14ac:dyDescent="0.25">
      <c r="A46" s="494" t="s">
        <v>323</v>
      </c>
      <c r="B46" s="495">
        <f>'NONDWENI WATER WORKS'!C9</f>
        <v>0</v>
      </c>
      <c r="C46" s="495"/>
      <c r="D46" s="495"/>
      <c r="E46" s="491"/>
      <c r="F46" s="491"/>
      <c r="G46" s="491"/>
      <c r="H46" s="495"/>
      <c r="I46" s="495"/>
      <c r="J46" s="495"/>
      <c r="K46" s="495"/>
      <c r="L46" s="491">
        <f t="shared" si="1"/>
        <v>0</v>
      </c>
    </row>
    <row r="47" spans="1:13" x14ac:dyDescent="0.25">
      <c r="A47" s="494" t="s">
        <v>324</v>
      </c>
      <c r="B47" s="495">
        <f>SUMMARY!L47</f>
        <v>2550</v>
      </c>
      <c r="C47" s="495"/>
      <c r="D47" s="495"/>
      <c r="E47" s="491"/>
      <c r="F47" s="491"/>
      <c r="G47" s="491"/>
      <c r="H47" s="495"/>
      <c r="I47" s="495"/>
      <c r="J47" s="495"/>
      <c r="K47" s="495"/>
      <c r="L47" s="491">
        <f t="shared" si="1"/>
        <v>2550</v>
      </c>
    </row>
    <row r="48" spans="1:13" hidden="1" x14ac:dyDescent="0.25">
      <c r="A48" s="494" t="s">
        <v>325</v>
      </c>
      <c r="B48" s="495">
        <f>'MAPUVE WATER WORKS'!C9</f>
        <v>0</v>
      </c>
      <c r="C48" s="495"/>
      <c r="D48" s="495"/>
      <c r="E48" s="491"/>
      <c r="F48" s="491"/>
      <c r="G48" s="491"/>
      <c r="H48" s="495"/>
      <c r="I48" s="495"/>
      <c r="J48" s="495"/>
      <c r="K48" s="495"/>
      <c r="L48" s="491">
        <f t="shared" si="1"/>
        <v>0</v>
      </c>
    </row>
    <row r="49" spans="1:12" hidden="1" x14ac:dyDescent="0.25">
      <c r="A49" s="494" t="s">
        <v>326</v>
      </c>
      <c r="B49" s="495">
        <f>'MIDDLE LETABA WATER WORKS'!C9</f>
        <v>0</v>
      </c>
      <c r="C49" s="495"/>
      <c r="D49" s="495"/>
      <c r="E49" s="491"/>
      <c r="F49" s="491"/>
      <c r="G49" s="491"/>
      <c r="H49" s="495"/>
      <c r="I49" s="495"/>
      <c r="J49" s="495"/>
      <c r="K49" s="495"/>
      <c r="L49" s="491">
        <f t="shared" si="1"/>
        <v>0</v>
      </c>
    </row>
    <row r="50" spans="1:12" hidden="1" x14ac:dyDescent="0.25">
      <c r="A50" s="494" t="s">
        <v>328</v>
      </c>
      <c r="B50" s="495">
        <f>'MUYEXE WATER WORKS'!B9</f>
        <v>0</v>
      </c>
      <c r="C50" s="495"/>
      <c r="D50" s="495"/>
      <c r="E50" s="491"/>
      <c r="F50" s="491"/>
      <c r="G50" s="491"/>
      <c r="H50" s="495"/>
      <c r="I50" s="495"/>
      <c r="J50" s="495"/>
      <c r="K50" s="495"/>
      <c r="L50" s="491">
        <f t="shared" si="1"/>
        <v>0</v>
      </c>
    </row>
    <row r="51" spans="1:12" hidden="1" x14ac:dyDescent="0.25">
      <c r="A51" s="494" t="s">
        <v>329</v>
      </c>
      <c r="B51" s="495">
        <f>'GIYANI SEWAGE WORKS'!B9</f>
        <v>0</v>
      </c>
      <c r="C51" s="495"/>
      <c r="D51" s="495"/>
      <c r="E51" s="491"/>
      <c r="F51" s="491"/>
      <c r="G51" s="491"/>
      <c r="H51" s="495"/>
      <c r="I51" s="495"/>
      <c r="J51" s="495"/>
      <c r="K51" s="495"/>
      <c r="L51" s="491">
        <f t="shared" si="1"/>
        <v>0</v>
      </c>
    </row>
    <row r="52" spans="1:12" hidden="1" x14ac:dyDescent="0.25">
      <c r="A52" s="494" t="s">
        <v>330</v>
      </c>
      <c r="B52" s="495">
        <f>'IK PONDS'!B9</f>
        <v>0</v>
      </c>
      <c r="C52" s="495"/>
      <c r="D52" s="495"/>
      <c r="E52" s="491"/>
      <c r="F52" s="491"/>
      <c r="G52" s="491"/>
      <c r="H52" s="495"/>
      <c r="I52" s="495"/>
      <c r="J52" s="495"/>
      <c r="K52" s="495"/>
      <c r="L52" s="491">
        <f t="shared" si="1"/>
        <v>0</v>
      </c>
    </row>
    <row r="53" spans="1:12" hidden="1" x14ac:dyDescent="0.25">
      <c r="A53" s="494" t="s">
        <v>331</v>
      </c>
      <c r="B53" s="495">
        <f>'MODJADJI WATER WORKS'!B9</f>
        <v>0</v>
      </c>
      <c r="C53" s="495"/>
      <c r="D53" s="495"/>
      <c r="E53" s="491"/>
      <c r="F53" s="491"/>
      <c r="G53" s="491"/>
      <c r="H53" s="495"/>
      <c r="I53" s="495"/>
      <c r="J53" s="495"/>
      <c r="K53" s="495"/>
      <c r="L53" s="491">
        <f t="shared" si="1"/>
        <v>0</v>
      </c>
    </row>
    <row r="54" spans="1:12" hidden="1" x14ac:dyDescent="0.25">
      <c r="A54" s="494" t="s">
        <v>332</v>
      </c>
      <c r="B54" s="495">
        <f>'KURANTA WATER PACKAGE PLANT'!B9</f>
        <v>0</v>
      </c>
      <c r="C54" s="495"/>
      <c r="D54" s="495"/>
      <c r="E54" s="491"/>
      <c r="F54" s="491"/>
      <c r="G54" s="491"/>
      <c r="H54" s="495"/>
      <c r="I54" s="495"/>
      <c r="J54" s="495"/>
      <c r="K54" s="495"/>
      <c r="L54" s="491">
        <f t="shared" si="1"/>
        <v>0</v>
      </c>
    </row>
    <row r="55" spans="1:12" hidden="1" x14ac:dyDescent="0.25">
      <c r="A55" s="494" t="s">
        <v>333</v>
      </c>
      <c r="B55" s="495">
        <f>'KGAPANE SEWAGE WORKS'!B9</f>
        <v>0</v>
      </c>
      <c r="C55" s="495"/>
      <c r="D55" s="495"/>
      <c r="E55" s="491"/>
      <c r="F55" s="491"/>
      <c r="G55" s="491"/>
      <c r="H55" s="495"/>
      <c r="I55" s="495"/>
      <c r="J55" s="495"/>
      <c r="K55" s="495"/>
      <c r="L55" s="491">
        <f t="shared" si="1"/>
        <v>0</v>
      </c>
    </row>
    <row r="56" spans="1:12" hidden="1" x14ac:dyDescent="0.25">
      <c r="A56" s="494" t="s">
        <v>334</v>
      </c>
      <c r="B56" s="495">
        <f>'SENWAMOKGOPE SEWAGE WORKS'!B9</f>
        <v>0</v>
      </c>
      <c r="C56" s="495"/>
      <c r="D56" s="495"/>
      <c r="E56" s="491"/>
      <c r="F56" s="491"/>
      <c r="G56" s="491"/>
      <c r="H56" s="495"/>
      <c r="I56" s="495"/>
      <c r="J56" s="495"/>
      <c r="K56" s="495"/>
      <c r="L56" s="491">
        <f t="shared" si="1"/>
        <v>0</v>
      </c>
    </row>
    <row r="57" spans="1:12" hidden="1" x14ac:dyDescent="0.25">
      <c r="A57" s="494" t="s">
        <v>335</v>
      </c>
      <c r="B57" s="495">
        <f>'NKAMBAKO WATER WORKS'!B9</f>
        <v>0</v>
      </c>
      <c r="C57" s="495"/>
      <c r="D57" s="495"/>
      <c r="E57" s="491"/>
      <c r="F57" s="491"/>
      <c r="G57" s="491"/>
      <c r="H57" s="495"/>
      <c r="I57" s="495"/>
      <c r="J57" s="495"/>
      <c r="K57" s="495"/>
      <c r="L57" s="491">
        <f t="shared" si="1"/>
        <v>0</v>
      </c>
    </row>
    <row r="58" spans="1:12" hidden="1" x14ac:dyDescent="0.25">
      <c r="A58" s="494" t="s">
        <v>336</v>
      </c>
      <c r="B58" s="495">
        <f>'THAPANE WATER WORKS'!B9</f>
        <v>0</v>
      </c>
      <c r="C58" s="495"/>
      <c r="D58" s="495"/>
      <c r="E58" s="491"/>
      <c r="F58" s="491"/>
      <c r="G58" s="491"/>
      <c r="H58" s="495"/>
      <c r="I58" s="495"/>
      <c r="J58" s="495"/>
      <c r="K58" s="495"/>
      <c r="L58" s="491">
        <f t="shared" si="1"/>
        <v>0</v>
      </c>
    </row>
    <row r="59" spans="1:12" hidden="1" x14ac:dyDescent="0.25">
      <c r="A59" s="494" t="s">
        <v>337</v>
      </c>
      <c r="B59" s="495">
        <f>'THABINA WATER WORKS'!B9</f>
        <v>0</v>
      </c>
      <c r="C59" s="495"/>
      <c r="D59" s="495"/>
      <c r="E59" s="491"/>
      <c r="F59" s="491"/>
      <c r="G59" s="491"/>
      <c r="H59" s="495"/>
      <c r="I59" s="495"/>
      <c r="J59" s="495"/>
      <c r="K59" s="495"/>
      <c r="L59" s="491">
        <f t="shared" si="1"/>
        <v>0</v>
      </c>
    </row>
    <row r="60" spans="1:12" hidden="1" x14ac:dyDescent="0.25">
      <c r="A60" s="494" t="s">
        <v>338</v>
      </c>
      <c r="B60" s="495">
        <f>'TOURS WATER WORKS'!B9</f>
        <v>0</v>
      </c>
      <c r="C60" s="495"/>
      <c r="D60" s="495"/>
      <c r="E60" s="491"/>
      <c r="F60" s="491"/>
      <c r="G60" s="491"/>
      <c r="H60" s="495"/>
      <c r="I60" s="495"/>
      <c r="J60" s="495"/>
      <c r="K60" s="495"/>
      <c r="L60" s="491">
        <f t="shared" si="1"/>
        <v>0</v>
      </c>
    </row>
    <row r="61" spans="1:12" hidden="1" x14ac:dyDescent="0.25">
      <c r="A61" s="494" t="s">
        <v>339</v>
      </c>
      <c r="B61" s="495">
        <v>0</v>
      </c>
      <c r="C61" s="495"/>
      <c r="D61" s="495"/>
      <c r="E61" s="491"/>
      <c r="F61" s="491"/>
      <c r="G61" s="491"/>
      <c r="H61" s="495"/>
      <c r="I61" s="495"/>
      <c r="J61" s="495"/>
      <c r="K61" s="495"/>
      <c r="L61" s="491">
        <f t="shared" si="1"/>
        <v>0</v>
      </c>
    </row>
    <row r="62" spans="1:12" x14ac:dyDescent="0.25">
      <c r="A62" s="494" t="s">
        <v>340</v>
      </c>
      <c r="B62" s="495">
        <f>SUMMARY!L62</f>
        <v>21250</v>
      </c>
      <c r="C62" s="495"/>
      <c r="D62" s="495"/>
      <c r="E62" s="491"/>
      <c r="F62" s="491"/>
      <c r="G62" s="491"/>
      <c r="H62" s="495"/>
      <c r="I62" s="495"/>
      <c r="J62" s="495"/>
      <c r="K62" s="495"/>
      <c r="L62" s="491">
        <f t="shared" si="1"/>
        <v>21250</v>
      </c>
    </row>
    <row r="63" spans="1:12" hidden="1" x14ac:dyDescent="0.25">
      <c r="A63" s="494" t="s">
        <v>354</v>
      </c>
      <c r="B63" s="495">
        <v>0</v>
      </c>
      <c r="C63" s="495"/>
      <c r="D63" s="495"/>
      <c r="E63" s="491"/>
      <c r="F63" s="491"/>
      <c r="G63" s="491"/>
      <c r="H63" s="495"/>
      <c r="I63" s="495"/>
      <c r="J63" s="495"/>
      <c r="K63" s="495"/>
      <c r="L63" s="491">
        <f t="shared" si="1"/>
        <v>0</v>
      </c>
    </row>
    <row r="64" spans="1:12" hidden="1" x14ac:dyDescent="0.25">
      <c r="A64" s="494" t="s">
        <v>355</v>
      </c>
      <c r="B64" s="495">
        <f>'NKOWANKOWA WATER WORKS'!B9</f>
        <v>0</v>
      </c>
      <c r="C64" s="495"/>
      <c r="D64" s="495"/>
      <c r="E64" s="491"/>
      <c r="F64" s="491"/>
      <c r="G64" s="491"/>
      <c r="H64" s="495"/>
      <c r="I64" s="495"/>
      <c r="J64" s="495"/>
      <c r="K64" s="495"/>
      <c r="L64" s="491">
        <f t="shared" si="1"/>
        <v>0</v>
      </c>
    </row>
    <row r="65" spans="1:13" hidden="1" x14ac:dyDescent="0.25">
      <c r="A65" s="494" t="s">
        <v>341</v>
      </c>
      <c r="B65" s="495">
        <f>'THE OAKS WATER WORKS'!B9</f>
        <v>0</v>
      </c>
      <c r="C65" s="495"/>
      <c r="D65" s="495"/>
      <c r="E65" s="491"/>
      <c r="F65" s="491"/>
      <c r="G65" s="491"/>
      <c r="H65" s="495"/>
      <c r="I65" s="495"/>
      <c r="J65" s="495"/>
      <c r="K65" s="495"/>
      <c r="L65" s="491">
        <f t="shared" si="1"/>
        <v>0</v>
      </c>
    </row>
    <row r="66" spans="1:13" hidden="1" x14ac:dyDescent="0.25">
      <c r="A66" s="494" t="s">
        <v>342</v>
      </c>
      <c r="B66" s="495">
        <f>'FINALE WATER WORKS'!B9</f>
        <v>0</v>
      </c>
      <c r="C66" s="495"/>
      <c r="D66" s="495"/>
      <c r="E66" s="491"/>
      <c r="F66" s="491"/>
      <c r="G66" s="491"/>
      <c r="H66" s="495"/>
      <c r="I66" s="495"/>
      <c r="J66" s="495"/>
      <c r="K66" s="495"/>
      <c r="L66" s="491">
        <f t="shared" si="1"/>
        <v>0</v>
      </c>
    </row>
    <row r="67" spans="1:13" hidden="1" x14ac:dyDescent="0.25">
      <c r="A67" s="494" t="s">
        <v>343</v>
      </c>
      <c r="B67" s="495">
        <f>'SEKORORO WATER WORKS'!E8</f>
        <v>0</v>
      </c>
      <c r="C67" s="495"/>
      <c r="D67" s="495"/>
      <c r="E67" s="491"/>
      <c r="F67" s="491"/>
      <c r="G67" s="491"/>
      <c r="H67" s="495"/>
      <c r="I67" s="495"/>
      <c r="J67" s="495"/>
      <c r="K67" s="495"/>
      <c r="L67" s="491">
        <f t="shared" si="1"/>
        <v>0</v>
      </c>
    </row>
    <row r="68" spans="1:13" hidden="1" x14ac:dyDescent="0.25">
      <c r="A68" s="494" t="s">
        <v>345</v>
      </c>
      <c r="B68" s="495">
        <f>'WATER QUALITY'!B9</f>
        <v>0</v>
      </c>
      <c r="C68" s="495"/>
      <c r="D68" s="495"/>
      <c r="E68" s="491"/>
      <c r="F68" s="491"/>
      <c r="G68" s="491"/>
      <c r="H68" s="495"/>
      <c r="I68" s="495"/>
      <c r="J68" s="495"/>
      <c r="K68" s="495"/>
      <c r="L68" s="491">
        <f t="shared" si="1"/>
        <v>0</v>
      </c>
    </row>
    <row r="69" spans="1:13" hidden="1" x14ac:dyDescent="0.25">
      <c r="A69" s="497" t="s">
        <v>392</v>
      </c>
      <c r="B69" s="495">
        <f>'WORCESTER SCHEME'!B9</f>
        <v>0</v>
      </c>
      <c r="C69" s="495"/>
      <c r="D69" s="495"/>
      <c r="E69" s="491"/>
      <c r="F69" s="491"/>
      <c r="G69" s="491"/>
      <c r="H69" s="495"/>
      <c r="I69" s="495"/>
      <c r="J69" s="495"/>
      <c r="K69" s="495"/>
      <c r="L69" s="491">
        <f t="shared" si="1"/>
        <v>0</v>
      </c>
    </row>
    <row r="70" spans="1:13" hidden="1" x14ac:dyDescent="0.25">
      <c r="A70" s="497" t="s">
        <v>391</v>
      </c>
      <c r="B70" s="495">
        <f>'SEKGOSESE SCHEME'!B9</f>
        <v>0</v>
      </c>
      <c r="C70" s="495"/>
      <c r="D70" s="495"/>
      <c r="E70" s="491"/>
      <c r="F70" s="491"/>
      <c r="G70" s="491"/>
      <c r="H70" s="495"/>
      <c r="I70" s="495"/>
      <c r="J70" s="495"/>
      <c r="K70" s="495"/>
      <c r="L70" s="491">
        <f t="shared" si="1"/>
        <v>0</v>
      </c>
    </row>
    <row r="71" spans="1:13" hidden="1" x14ac:dyDescent="0.25">
      <c r="A71" s="497" t="s">
        <v>389</v>
      </c>
      <c r="B71" s="495">
        <f>'LOWER MOLOTOTSI'!B9</f>
        <v>0</v>
      </c>
      <c r="C71" s="495"/>
      <c r="D71" s="495"/>
      <c r="E71" s="491"/>
      <c r="F71" s="491"/>
      <c r="G71" s="491"/>
      <c r="H71" s="495"/>
      <c r="I71" s="495"/>
      <c r="J71" s="495"/>
      <c r="K71" s="495"/>
      <c r="L71" s="491">
        <f t="shared" si="1"/>
        <v>0</v>
      </c>
    </row>
    <row r="72" spans="1:13" hidden="1" x14ac:dyDescent="0.25">
      <c r="A72" s="497" t="s">
        <v>390</v>
      </c>
      <c r="B72" s="495">
        <f>SEKGOPO!B9</f>
        <v>0</v>
      </c>
      <c r="C72" s="495"/>
      <c r="D72" s="495"/>
      <c r="E72" s="491"/>
      <c r="F72" s="491"/>
      <c r="G72" s="491"/>
      <c r="H72" s="495"/>
      <c r="I72" s="495"/>
      <c r="J72" s="495"/>
      <c r="K72" s="495"/>
      <c r="L72" s="491">
        <f t="shared" si="1"/>
        <v>0</v>
      </c>
    </row>
    <row r="73" spans="1:13" hidden="1" x14ac:dyDescent="0.25">
      <c r="A73" s="494" t="s">
        <v>228</v>
      </c>
      <c r="B73" s="495"/>
      <c r="C73" s="495"/>
      <c r="D73" s="495"/>
      <c r="E73" s="495"/>
      <c r="F73" s="491"/>
      <c r="G73" s="491"/>
      <c r="H73" s="495"/>
      <c r="I73" s="495"/>
      <c r="J73" s="495"/>
      <c r="K73" s="495"/>
      <c r="L73" s="491">
        <f t="shared" si="1"/>
        <v>0</v>
      </c>
    </row>
    <row r="74" spans="1:13" hidden="1" x14ac:dyDescent="0.25">
      <c r="A74" s="494" t="s">
        <v>229</v>
      </c>
      <c r="B74" s="495"/>
      <c r="C74" s="495"/>
      <c r="D74" s="495"/>
      <c r="E74" s="495"/>
      <c r="F74" s="491"/>
      <c r="G74" s="491"/>
      <c r="H74" s="495"/>
      <c r="I74" s="495"/>
      <c r="J74" s="495"/>
      <c r="K74" s="495"/>
      <c r="L74" s="491">
        <f t="shared" si="1"/>
        <v>0</v>
      </c>
    </row>
    <row r="75" spans="1:13" hidden="1" x14ac:dyDescent="0.25">
      <c r="A75" s="494" t="s">
        <v>230</v>
      </c>
      <c r="B75" s="495"/>
      <c r="C75" s="495"/>
      <c r="D75" s="495"/>
      <c r="E75" s="495"/>
      <c r="F75" s="491"/>
      <c r="G75" s="491"/>
      <c r="H75" s="495"/>
      <c r="I75" s="495"/>
      <c r="J75" s="495"/>
      <c r="K75" s="495"/>
      <c r="L75" s="491">
        <f t="shared" si="1"/>
        <v>0</v>
      </c>
    </row>
    <row r="76" spans="1:13" hidden="1" x14ac:dyDescent="0.25">
      <c r="A76" s="494" t="s">
        <v>231</v>
      </c>
      <c r="B76" s="495"/>
      <c r="C76" s="495"/>
      <c r="D76" s="495"/>
      <c r="E76" s="495"/>
      <c r="F76" s="491"/>
      <c r="G76" s="491"/>
      <c r="H76" s="495"/>
      <c r="I76" s="495"/>
      <c r="J76" s="495"/>
      <c r="K76" s="495"/>
      <c r="L76" s="491">
        <f t="shared" si="1"/>
        <v>0</v>
      </c>
    </row>
    <row r="77" spans="1:13" hidden="1" x14ac:dyDescent="0.25">
      <c r="A77" s="494" t="s">
        <v>232</v>
      </c>
      <c r="B77" s="495"/>
      <c r="C77" s="495"/>
      <c r="D77" s="495"/>
      <c r="E77" s="495"/>
      <c r="F77" s="491"/>
      <c r="G77" s="491"/>
      <c r="H77" s="495"/>
      <c r="I77" s="495"/>
      <c r="J77" s="495"/>
      <c r="K77" s="495"/>
      <c r="L77" s="491">
        <f t="shared" si="1"/>
        <v>0</v>
      </c>
    </row>
    <row r="78" spans="1:13" s="76" customFormat="1" hidden="1" x14ac:dyDescent="0.25">
      <c r="A78" s="494" t="s">
        <v>233</v>
      </c>
      <c r="B78" s="495"/>
      <c r="C78" s="495"/>
      <c r="D78" s="495"/>
      <c r="E78" s="495"/>
      <c r="F78" s="491"/>
      <c r="G78" s="491"/>
      <c r="H78" s="495"/>
      <c r="I78" s="495"/>
      <c r="J78" s="495"/>
      <c r="K78" s="495"/>
      <c r="L78" s="491">
        <f t="shared" si="1"/>
        <v>0</v>
      </c>
      <c r="M78" s="599"/>
    </row>
    <row r="79" spans="1:13" hidden="1" x14ac:dyDescent="0.25">
      <c r="A79" s="494" t="s">
        <v>234</v>
      </c>
      <c r="B79" s="495"/>
      <c r="C79" s="495"/>
      <c r="D79" s="495"/>
      <c r="E79" s="495"/>
      <c r="F79" s="491"/>
      <c r="G79" s="491"/>
      <c r="H79" s="495"/>
      <c r="I79" s="495"/>
      <c r="J79" s="495"/>
      <c r="K79" s="495"/>
      <c r="L79" s="491">
        <f t="shared" si="1"/>
        <v>0</v>
      </c>
    </row>
    <row r="80" spans="1:13" s="76" customFormat="1" hidden="1" x14ac:dyDescent="0.25">
      <c r="A80" s="494" t="s">
        <v>235</v>
      </c>
      <c r="B80" s="495"/>
      <c r="C80" s="495"/>
      <c r="D80" s="495"/>
      <c r="E80" s="495"/>
      <c r="F80" s="491"/>
      <c r="G80" s="491"/>
      <c r="H80" s="495"/>
      <c r="I80" s="495"/>
      <c r="J80" s="495"/>
      <c r="K80" s="495"/>
      <c r="L80" s="491">
        <f t="shared" si="1"/>
        <v>0</v>
      </c>
      <c r="M80" s="599"/>
    </row>
    <row r="81" spans="1:13" hidden="1" x14ac:dyDescent="0.25">
      <c r="A81" s="494" t="s">
        <v>236</v>
      </c>
      <c r="B81" s="495"/>
      <c r="C81" s="495"/>
      <c r="D81" s="495"/>
      <c r="E81" s="495"/>
      <c r="F81" s="491"/>
      <c r="G81" s="491"/>
      <c r="H81" s="495"/>
      <c r="I81" s="495"/>
      <c r="J81" s="495"/>
      <c r="K81" s="495"/>
      <c r="L81" s="491">
        <f t="shared" si="1"/>
        <v>0</v>
      </c>
    </row>
    <row r="82" spans="1:13" s="19" customFormat="1" x14ac:dyDescent="0.25">
      <c r="A82" s="864" t="s">
        <v>211</v>
      </c>
      <c r="B82" s="866">
        <f>-SUMMARY!D84</f>
        <v>-186056117.74500003</v>
      </c>
      <c r="C82" s="491"/>
      <c r="D82" s="491"/>
      <c r="E82" s="491"/>
      <c r="F82" s="491"/>
      <c r="G82" s="491"/>
      <c r="H82" s="491"/>
      <c r="I82" s="491"/>
      <c r="J82" s="491"/>
      <c r="K82" s="491"/>
      <c r="L82" s="491">
        <f t="shared" si="1"/>
        <v>-186056117.74500003</v>
      </c>
      <c r="M82" s="601"/>
    </row>
    <row r="83" spans="1:13" s="19" customFormat="1" ht="16.5" thickBot="1" x14ac:dyDescent="0.3">
      <c r="A83" s="500"/>
      <c r="B83" s="867"/>
      <c r="C83" s="502"/>
      <c r="D83" s="502"/>
      <c r="E83" s="502"/>
      <c r="F83" s="502"/>
      <c r="G83" s="502"/>
      <c r="H83" s="502"/>
      <c r="I83" s="502"/>
      <c r="J83" s="502"/>
      <c r="K83" s="502"/>
      <c r="L83" s="491">
        <f t="shared" ref="L83" si="2">SUM(B83:K83)</f>
        <v>0</v>
      </c>
      <c r="M83" s="601"/>
    </row>
    <row r="84" spans="1:13" s="19" customFormat="1" ht="16.5" thickBot="1" x14ac:dyDescent="0.3">
      <c r="A84" s="504" t="s">
        <v>113</v>
      </c>
      <c r="B84" s="505">
        <f>SUM(B4:B82)</f>
        <v>1113150791.7787499</v>
      </c>
      <c r="C84" s="505">
        <f t="shared" ref="C84:J84" si="3">SUM(C4:C82)</f>
        <v>584013550.09350002</v>
      </c>
      <c r="D84" s="505">
        <f t="shared" si="3"/>
        <v>63032986</v>
      </c>
      <c r="E84" s="505">
        <f>SUM(E4:E82)</f>
        <v>2762000</v>
      </c>
      <c r="F84" s="505">
        <f t="shared" si="3"/>
        <v>9433000</v>
      </c>
      <c r="G84" s="505">
        <f t="shared" si="3"/>
        <v>2225000</v>
      </c>
      <c r="H84" s="505">
        <f t="shared" si="3"/>
        <v>36090000</v>
      </c>
      <c r="I84" s="505">
        <f t="shared" si="3"/>
        <v>50000000</v>
      </c>
      <c r="J84" s="505">
        <f t="shared" si="3"/>
        <v>45000000</v>
      </c>
      <c r="K84" s="505">
        <f>SUM(K3:K83)</f>
        <v>149854760</v>
      </c>
      <c r="L84" s="505">
        <f>SUM(L4:L83)</f>
        <v>2055562087.8722498</v>
      </c>
      <c r="M84" s="601"/>
    </row>
    <row r="85" spans="1:13" s="19" customFormat="1" ht="15" customHeight="1" thickBot="1" x14ac:dyDescent="0.3">
      <c r="A85" s="506"/>
      <c r="B85" s="364"/>
      <c r="C85" s="364"/>
      <c r="D85" s="364"/>
      <c r="E85" s="364"/>
      <c r="F85" s="364"/>
      <c r="G85" s="507"/>
      <c r="H85" s="507"/>
      <c r="I85" s="507"/>
      <c r="J85" s="507"/>
      <c r="K85" s="507"/>
      <c r="L85" s="507"/>
      <c r="M85" s="601"/>
    </row>
    <row r="86" spans="1:13" s="19" customFormat="1" x14ac:dyDescent="0.25">
      <c r="A86" s="508" t="s">
        <v>916</v>
      </c>
      <c r="B86" s="509">
        <v>1122659000</v>
      </c>
      <c r="C86" s="508">
        <f>451056000+132957550</f>
        <v>584013550</v>
      </c>
      <c r="D86" s="508">
        <f>45000000+18032986</f>
        <v>63032986</v>
      </c>
      <c r="E86" s="508">
        <v>2700000</v>
      </c>
      <c r="F86" s="508">
        <v>9433000</v>
      </c>
      <c r="G86" s="508">
        <v>2225000</v>
      </c>
      <c r="H86" s="508">
        <v>36090000</v>
      </c>
      <c r="I86" s="508">
        <v>50000000</v>
      </c>
      <c r="J86" s="508">
        <v>45000000</v>
      </c>
      <c r="K86" s="508">
        <v>149854760</v>
      </c>
      <c r="L86" s="508">
        <f>SUM(B86:K86)</f>
        <v>2065008296</v>
      </c>
      <c r="M86" s="601"/>
    </row>
    <row r="87" spans="1:13" x14ac:dyDescent="0.25">
      <c r="C87" s="514"/>
      <c r="D87" s="514"/>
      <c r="E87" s="514"/>
      <c r="F87" s="514"/>
      <c r="G87" s="514"/>
      <c r="H87" s="514"/>
      <c r="I87" s="514"/>
      <c r="J87" s="514"/>
      <c r="K87" s="514"/>
      <c r="L87" s="508">
        <f t="shared" ref="L87" si="4">SUM(B87:J87)</f>
        <v>0</v>
      </c>
    </row>
    <row r="88" spans="1:13" x14ac:dyDescent="0.25">
      <c r="A88" s="512" t="s">
        <v>894</v>
      </c>
      <c r="B88" s="514">
        <f>B86-B84</f>
        <v>9508208.2212500572</v>
      </c>
      <c r="C88" s="514">
        <f t="shared" ref="C88:J88" si="5">C86-C84</f>
        <v>-9.3500018119812012E-2</v>
      </c>
      <c r="D88" s="514">
        <f t="shared" si="5"/>
        <v>0</v>
      </c>
      <c r="E88" s="514">
        <f t="shared" si="5"/>
        <v>-62000</v>
      </c>
      <c r="F88" s="514">
        <f t="shared" si="5"/>
        <v>0</v>
      </c>
      <c r="G88" s="514">
        <f t="shared" si="5"/>
        <v>0</v>
      </c>
      <c r="H88" s="514">
        <f t="shared" si="5"/>
        <v>0</v>
      </c>
      <c r="I88" s="514">
        <f t="shared" si="5"/>
        <v>0</v>
      </c>
      <c r="J88" s="514">
        <f t="shared" si="5"/>
        <v>0</v>
      </c>
      <c r="K88" s="514"/>
      <c r="L88" s="508">
        <f>SUM(B88:K88)</f>
        <v>9446208.1277500391</v>
      </c>
    </row>
    <row r="89" spans="1:13" x14ac:dyDescent="0.25">
      <c r="E89" s="513"/>
      <c r="F89" s="513"/>
    </row>
    <row r="90" spans="1:13" x14ac:dyDescent="0.25">
      <c r="C90" s="513"/>
      <c r="D90" s="513"/>
      <c r="E90" s="513"/>
      <c r="F90" s="513"/>
      <c r="G90" s="513"/>
      <c r="H90" s="513"/>
      <c r="I90" s="513"/>
      <c r="J90" s="513"/>
      <c r="K90" s="513"/>
      <c r="L90" s="513"/>
    </row>
    <row r="91" spans="1:13" ht="28.5" customHeight="1" x14ac:dyDescent="0.25"/>
  </sheetData>
  <mergeCells count="1">
    <mergeCell ref="A1:L1"/>
  </mergeCells>
  <pageMargins left="0" right="0" top="0.98425196850393704" bottom="0.23622047244094491" header="0.23622047244094491" footer="0.23622047244094491"/>
  <pageSetup scale="49" orientation="landscape" r:id="rId1"/>
  <headerFooter alignWithMargins="0">
    <oddHeader>&amp;C&amp;P</oddHeader>
    <oddFooter>&amp;A&amp;RPage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I26"/>
  <sheetViews>
    <sheetView view="pageBreakPreview" zoomScale="80" zoomScaleNormal="100" zoomScaleSheetLayoutView="80" workbookViewId="0">
      <selection activeCell="F19" sqref="F19"/>
    </sheetView>
  </sheetViews>
  <sheetFormatPr defaultColWidth="9.28515625" defaultRowHeight="15" x14ac:dyDescent="0.25"/>
  <cols>
    <col min="1" max="1" width="30.7109375" style="19" customWidth="1"/>
    <col min="2" max="2" width="14.42578125" style="63" hidden="1" customWidth="1"/>
    <col min="3" max="7" width="14.140625" style="63" customWidth="1"/>
    <col min="8" max="8" width="14" style="63" customWidth="1"/>
    <col min="9" max="9" width="16.140625" style="19" customWidth="1"/>
    <col min="10" max="16384" width="9.28515625" style="19"/>
  </cols>
  <sheetData>
    <row r="1" spans="1:9" s="18" customFormat="1" ht="18.75" x14ac:dyDescent="0.3">
      <c r="A1" s="15" t="s">
        <v>510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2.7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560</v>
      </c>
      <c r="I3" s="427" t="s">
        <v>644</v>
      </c>
    </row>
    <row r="4" spans="1:9" s="18" customFormat="1" ht="15" hidden="1" customHeight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8"/>
    </row>
    <row r="5" spans="1:9" s="18" customFormat="1" ht="15" hidden="1" customHeight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8"/>
    </row>
    <row r="6" spans="1:9" s="18" customFormat="1" ht="15" hidden="1" customHeight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8"/>
    </row>
    <row r="7" spans="1:9" s="18" customFormat="1" ht="15" hidden="1" customHeight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8"/>
    </row>
    <row r="8" spans="1:9" s="18" customFormat="1" ht="15" hidden="1" customHeight="1" x14ac:dyDescent="0.25">
      <c r="A8" s="50"/>
      <c r="B8" s="51"/>
      <c r="C8" s="177"/>
      <c r="D8" s="177"/>
      <c r="E8" s="177"/>
      <c r="F8" s="177"/>
      <c r="G8" s="177"/>
      <c r="H8" s="51"/>
      <c r="I8" s="438"/>
    </row>
    <row r="9" spans="1:9" s="134" customFormat="1" ht="15" hidden="1" customHeight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9"/>
    </row>
    <row r="10" spans="1:9" s="18" customFormat="1" ht="15" hidden="1" customHeight="1" x14ac:dyDescent="0.25">
      <c r="A10" s="50"/>
      <c r="B10" s="51"/>
      <c r="C10" s="177"/>
      <c r="D10" s="177"/>
      <c r="E10" s="177"/>
      <c r="F10" s="177"/>
      <c r="G10" s="177"/>
      <c r="H10" s="51"/>
      <c r="I10" s="438"/>
    </row>
    <row r="11" spans="1:9" s="18" customFormat="1" ht="15" hidden="1" customHeight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8"/>
    </row>
    <row r="12" spans="1:9" s="18" customFormat="1" ht="15" hidden="1" customHeight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8"/>
    </row>
    <row r="13" spans="1:9" s="18" customFormat="1" ht="15" hidden="1" customHeight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8"/>
    </row>
    <row r="14" spans="1:9" s="18" customFormat="1" ht="15" hidden="1" customHeight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8"/>
    </row>
    <row r="15" spans="1:9" s="18" customFormat="1" ht="15" hidden="1" customHeight="1" x14ac:dyDescent="0.25">
      <c r="A15" s="50"/>
      <c r="B15" s="51"/>
      <c r="C15" s="177"/>
      <c r="D15" s="177"/>
      <c r="E15" s="177"/>
      <c r="F15" s="177"/>
      <c r="G15" s="177"/>
      <c r="H15" s="51"/>
      <c r="I15" s="438"/>
    </row>
    <row r="16" spans="1:9" s="134" customFormat="1" ht="15" hidden="1" customHeight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9"/>
    </row>
    <row r="17" spans="1:9" ht="15" hidden="1" customHeight="1" x14ac:dyDescent="0.25">
      <c r="A17" s="60"/>
      <c r="B17" s="44"/>
      <c r="C17" s="178"/>
      <c r="D17" s="178"/>
      <c r="E17" s="178"/>
      <c r="F17" s="178"/>
      <c r="G17" s="178"/>
      <c r="H17" s="44"/>
      <c r="I17" s="438"/>
    </row>
    <row r="18" spans="1:9" s="18" customFormat="1" x14ac:dyDescent="0.25">
      <c r="A18" s="50" t="s">
        <v>316</v>
      </c>
      <c r="B18" s="165">
        <v>50000</v>
      </c>
      <c r="C18" s="165">
        <f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>H18*6.25%+H18</f>
        <v>59973.14453125</v>
      </c>
    </row>
    <row r="19" spans="1:9" s="134" customFormat="1" x14ac:dyDescent="0.25">
      <c r="A19" s="342" t="s">
        <v>43</v>
      </c>
      <c r="B19" s="44">
        <f>SUM(B18)</f>
        <v>50000</v>
      </c>
      <c r="C19" s="178">
        <f>SUM(C18)</f>
        <v>53125</v>
      </c>
      <c r="D19" s="178">
        <f t="shared" ref="D19:E19" si="0">SUM(D18)</f>
        <v>0</v>
      </c>
      <c r="E19" s="178">
        <f t="shared" si="0"/>
        <v>53125</v>
      </c>
      <c r="F19" s="178">
        <f t="shared" ref="F19:G19" si="1">SUM(F18)</f>
        <v>-53125</v>
      </c>
      <c r="G19" s="178">
        <f t="shared" si="1"/>
        <v>0</v>
      </c>
      <c r="H19" s="178">
        <f>SUM(H18)</f>
        <v>56445.3125</v>
      </c>
      <c r="I19" s="400">
        <f>SUM(I18)</f>
        <v>59973.14453125</v>
      </c>
    </row>
    <row r="20" spans="1:9" s="134" customFormat="1" x14ac:dyDescent="0.25">
      <c r="A20" s="342"/>
      <c r="B20" s="44"/>
      <c r="C20" s="178"/>
      <c r="D20" s="178"/>
      <c r="E20" s="178"/>
      <c r="F20" s="178"/>
      <c r="G20" s="178"/>
      <c r="H20" s="178"/>
      <c r="I20" s="441"/>
    </row>
    <row r="21" spans="1:9" s="18" customFormat="1" ht="15.75" thickBot="1" x14ac:dyDescent="0.3">
      <c r="A21" s="390" t="s">
        <v>48</v>
      </c>
      <c r="B21" s="444"/>
      <c r="C21" s="421">
        <f>SUM(C19)</f>
        <v>53125</v>
      </c>
      <c r="D21" s="421">
        <f t="shared" ref="D21:E21" si="2">SUM(D19)</f>
        <v>0</v>
      </c>
      <c r="E21" s="421">
        <f t="shared" si="2"/>
        <v>53125</v>
      </c>
      <c r="F21" s="421">
        <f t="shared" ref="F21:G21" si="3">SUM(F19)</f>
        <v>-53125</v>
      </c>
      <c r="G21" s="421">
        <f t="shared" si="3"/>
        <v>0</v>
      </c>
      <c r="H21" s="421">
        <f>SUM(H19)</f>
        <v>56445.3125</v>
      </c>
      <c r="I21" s="420">
        <f>SUM(I19)</f>
        <v>59973.14453125</v>
      </c>
    </row>
    <row r="22" spans="1:9" s="18" customFormat="1" hidden="1" x14ac:dyDescent="0.25">
      <c r="A22" s="225" t="s">
        <v>59</v>
      </c>
      <c r="B22" s="442"/>
      <c r="C22" s="443">
        <f>B22*6.2%+B22</f>
        <v>0</v>
      </c>
      <c r="D22" s="443"/>
      <c r="E22" s="443"/>
      <c r="F22" s="443"/>
      <c r="G22" s="443"/>
      <c r="H22" s="442">
        <f>C22*5.9%+C22</f>
        <v>0</v>
      </c>
    </row>
    <row r="23" spans="1:9" s="18" customFormat="1" hidden="1" x14ac:dyDescent="0.25">
      <c r="A23" s="50" t="s">
        <v>314</v>
      </c>
      <c r="B23" s="165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</row>
    <row r="24" spans="1:9" s="92" customFormat="1" hidden="1" x14ac:dyDescent="0.25">
      <c r="A24" s="50" t="s">
        <v>127</v>
      </c>
      <c r="B24" s="165"/>
      <c r="C24" s="214">
        <f>B24*6.2%+B24</f>
        <v>0</v>
      </c>
      <c r="D24" s="214"/>
      <c r="E24" s="214"/>
      <c r="F24" s="214"/>
      <c r="G24" s="214"/>
      <c r="H24" s="165">
        <f>C24*5.9%+C24</f>
        <v>0</v>
      </c>
    </row>
    <row r="25" spans="1:9" s="134" customFormat="1" hidden="1" x14ac:dyDescent="0.25">
      <c r="A25" s="139"/>
      <c r="B25" s="44">
        <f>SUM(B22:B24)</f>
        <v>0</v>
      </c>
      <c r="C25" s="178">
        <f>SUM(C22:C24)</f>
        <v>0</v>
      </c>
      <c r="D25" s="178"/>
      <c r="E25" s="178"/>
      <c r="F25" s="178"/>
      <c r="G25" s="178"/>
      <c r="H25" s="44">
        <f>SUM(H22:H24)</f>
        <v>0</v>
      </c>
    </row>
    <row r="26" spans="1:9" hidden="1" x14ac:dyDescent="0.25">
      <c r="A26" s="96"/>
      <c r="B26" s="89">
        <f>B9+B16+B19+B25</f>
        <v>50000</v>
      </c>
      <c r="C26" s="209">
        <f>C9+C16+C19+C25</f>
        <v>53125</v>
      </c>
      <c r="D26" s="209"/>
      <c r="E26" s="209"/>
      <c r="F26" s="209"/>
      <c r="G26" s="209"/>
      <c r="H26" s="89">
        <f>H9+H16+H19+H25</f>
        <v>56445.3125</v>
      </c>
    </row>
  </sheetData>
  <pageMargins left="0.7" right="0.7" top="0.75" bottom="0.75" header="0.3" footer="0.3"/>
  <pageSetup scale="75" orientation="landscape" r:id="rId1"/>
  <headerFooter>
    <oddFooter>&amp;A&amp;RPage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I27"/>
  <sheetViews>
    <sheetView view="pageBreakPreview" zoomScale="80" zoomScaleNormal="100" zoomScaleSheetLayoutView="80" workbookViewId="0">
      <selection activeCell="F20" sqref="F20"/>
    </sheetView>
  </sheetViews>
  <sheetFormatPr defaultColWidth="9.28515625" defaultRowHeight="15" x14ac:dyDescent="0.25"/>
  <cols>
    <col min="1" max="1" width="29" style="19" customWidth="1"/>
    <col min="2" max="2" width="14.42578125" style="63" hidden="1" customWidth="1"/>
    <col min="3" max="7" width="15.85546875" style="63" customWidth="1"/>
    <col min="8" max="8" width="14.28515625" style="63" customWidth="1"/>
    <col min="9" max="9" width="12.140625" style="19" customWidth="1"/>
    <col min="10" max="16384" width="9.28515625" style="19"/>
  </cols>
  <sheetData>
    <row r="1" spans="1:9" s="18" customFormat="1" ht="18.75" x14ac:dyDescent="0.3">
      <c r="A1" s="15" t="s">
        <v>627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2.7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hidden="1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96" t="s">
        <v>316</v>
      </c>
      <c r="B18" s="273">
        <v>20000</v>
      </c>
      <c r="C18" s="165">
        <f t="shared" ref="C18:I19" si="0">B18*6.25%+B18</f>
        <v>21250</v>
      </c>
      <c r="D18" s="165"/>
      <c r="E18" s="165">
        <f>C18-D18</f>
        <v>21250</v>
      </c>
      <c r="F18" s="165">
        <f>-E18</f>
        <v>-21250</v>
      </c>
      <c r="G18" s="165">
        <f>C18+F18</f>
        <v>0</v>
      </c>
      <c r="H18" s="165">
        <f>C18*6.25%+C18</f>
        <v>22578.125</v>
      </c>
      <c r="I18" s="440">
        <f t="shared" si="0"/>
        <v>23989.2578125</v>
      </c>
    </row>
    <row r="19" spans="1:9" s="18" customFormat="1" x14ac:dyDescent="0.25">
      <c r="A19" s="96" t="s">
        <v>20</v>
      </c>
      <c r="B19" s="91">
        <v>10000</v>
      </c>
      <c r="C19" s="165">
        <f t="shared" si="0"/>
        <v>10625</v>
      </c>
      <c r="D19" s="165"/>
      <c r="E19" s="165">
        <f>C19-D19</f>
        <v>10625</v>
      </c>
      <c r="F19" s="165">
        <f>-E19</f>
        <v>-10625</v>
      </c>
      <c r="G19" s="165">
        <f>C19+F19</f>
        <v>0</v>
      </c>
      <c r="H19" s="165">
        <f>C19*6.25%+C19</f>
        <v>11289.0625</v>
      </c>
      <c r="I19" s="440">
        <f t="shared" si="0"/>
        <v>11994.62890625</v>
      </c>
    </row>
    <row r="20" spans="1:9" s="134" customFormat="1" x14ac:dyDescent="0.25">
      <c r="A20" s="343" t="s">
        <v>43</v>
      </c>
      <c r="B20" s="89">
        <f>SUM(B18:B19)</f>
        <v>30000</v>
      </c>
      <c r="C20" s="44">
        <f>SUM(C18:C19)</f>
        <v>31875</v>
      </c>
      <c r="D20" s="44">
        <f t="shared" ref="D20:E20" si="1">SUM(D18:D19)</f>
        <v>0</v>
      </c>
      <c r="E20" s="44">
        <f t="shared" si="1"/>
        <v>31875</v>
      </c>
      <c r="F20" s="44">
        <f t="shared" ref="F20:G20" si="2">SUM(F18:F19)</f>
        <v>-31875</v>
      </c>
      <c r="G20" s="44">
        <f t="shared" si="2"/>
        <v>0</v>
      </c>
      <c r="H20" s="44">
        <f>SUM(H18:H19)</f>
        <v>33867.1875</v>
      </c>
      <c r="I20" s="400">
        <f>SUM(I18:I19)</f>
        <v>35983.88671875</v>
      </c>
    </row>
    <row r="21" spans="1:9" s="18" customFormat="1" x14ac:dyDescent="0.25">
      <c r="A21" s="398"/>
      <c r="B21" s="51"/>
      <c r="C21" s="51"/>
      <c r="D21" s="177"/>
      <c r="E21" s="177"/>
      <c r="F21" s="177"/>
      <c r="G21" s="177"/>
      <c r="H21" s="177"/>
      <c r="I21" s="440">
        <f t="shared" ref="I21:I26" si="3">H21*5.4%+H21</f>
        <v>0</v>
      </c>
    </row>
    <row r="22" spans="1:9" s="18" customFormat="1" hidden="1" x14ac:dyDescent="0.25">
      <c r="A22" s="341">
        <v>140</v>
      </c>
      <c r="B22" s="215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0">
        <f t="shared" si="3"/>
        <v>0</v>
      </c>
    </row>
    <row r="23" spans="1:9" s="18" customFormat="1" hidden="1" x14ac:dyDescent="0.25">
      <c r="A23" s="341">
        <v>140</v>
      </c>
      <c r="B23" s="215"/>
      <c r="C23" s="165">
        <f>B23*6.2%+B23</f>
        <v>0</v>
      </c>
      <c r="D23" s="214"/>
      <c r="E23" s="214"/>
      <c r="F23" s="214"/>
      <c r="G23" s="214"/>
      <c r="H23" s="214">
        <f>C23*5.9%+C23</f>
        <v>0</v>
      </c>
      <c r="I23" s="440">
        <f t="shared" si="3"/>
        <v>0</v>
      </c>
    </row>
    <row r="24" spans="1:9" s="18" customFormat="1" hidden="1" x14ac:dyDescent="0.25">
      <c r="A24" s="341">
        <v>140</v>
      </c>
      <c r="B24" s="215"/>
      <c r="C24" s="165">
        <f>B24*6.2%+B24</f>
        <v>0</v>
      </c>
      <c r="D24" s="214"/>
      <c r="E24" s="214"/>
      <c r="F24" s="214"/>
      <c r="G24" s="214"/>
      <c r="H24" s="214">
        <f>C24*5.9%+C24</f>
        <v>0</v>
      </c>
      <c r="I24" s="440">
        <f t="shared" si="3"/>
        <v>0</v>
      </c>
    </row>
    <row r="25" spans="1:9" s="18" customFormat="1" hidden="1" x14ac:dyDescent="0.25">
      <c r="A25" s="389"/>
      <c r="B25" s="91"/>
      <c r="C25" s="51"/>
      <c r="D25" s="177"/>
      <c r="E25" s="177"/>
      <c r="F25" s="177"/>
      <c r="G25" s="177"/>
      <c r="H25" s="177"/>
      <c r="I25" s="440">
        <f t="shared" si="3"/>
        <v>0</v>
      </c>
    </row>
    <row r="26" spans="1:9" s="134" customFormat="1" hidden="1" x14ac:dyDescent="0.25">
      <c r="A26" s="343" t="s">
        <v>42</v>
      </c>
      <c r="B26" s="44">
        <f>SUM(B22:B25)</f>
        <v>0</v>
      </c>
      <c r="C26" s="44">
        <f>SUM(C22:C25)</f>
        <v>0</v>
      </c>
      <c r="D26" s="178"/>
      <c r="E26" s="178"/>
      <c r="F26" s="178"/>
      <c r="G26" s="178"/>
      <c r="H26" s="178">
        <f>SUM(H22:H25)</f>
        <v>0</v>
      </c>
      <c r="I26" s="440">
        <f t="shared" si="3"/>
        <v>0</v>
      </c>
    </row>
    <row r="27" spans="1:9" ht="15.75" thickBot="1" x14ac:dyDescent="0.3">
      <c r="A27" s="390" t="s">
        <v>48</v>
      </c>
      <c r="B27" s="391">
        <f>B9+B16+B20+B26</f>
        <v>30000</v>
      </c>
      <c r="C27" s="391">
        <f>C9+C16+C20+C26</f>
        <v>31875</v>
      </c>
      <c r="D27" s="391">
        <f t="shared" ref="D27:E27" si="4">D9+D16+D20+D26</f>
        <v>0</v>
      </c>
      <c r="E27" s="391">
        <f t="shared" si="4"/>
        <v>31875</v>
      </c>
      <c r="F27" s="391">
        <f t="shared" ref="F27:G27" si="5">F9+F16+F20+F26</f>
        <v>-31875</v>
      </c>
      <c r="G27" s="391">
        <f t="shared" si="5"/>
        <v>0</v>
      </c>
      <c r="H27" s="391">
        <f>H9+H16+H20+H26</f>
        <v>33867.1875</v>
      </c>
      <c r="I27" s="401">
        <f>I9+I16+I20+I26</f>
        <v>35983.88671875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&amp;A&amp;RPage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I28"/>
  <sheetViews>
    <sheetView view="pageBreakPreview" zoomScale="90" zoomScaleNormal="100" zoomScaleSheetLayoutView="90" workbookViewId="0">
      <selection activeCell="F20" sqref="F20"/>
    </sheetView>
  </sheetViews>
  <sheetFormatPr defaultColWidth="8.85546875" defaultRowHeight="15" x14ac:dyDescent="0.25"/>
  <cols>
    <col min="1" max="1" width="29" style="19" customWidth="1"/>
    <col min="2" max="2" width="14.42578125" style="63" hidden="1" customWidth="1"/>
    <col min="3" max="8" width="15.28515625" style="63" customWidth="1"/>
    <col min="9" max="9" width="11.42578125" style="19" customWidth="1"/>
  </cols>
  <sheetData>
    <row r="1" spans="1:9" s="2" customFormat="1" ht="18.75" x14ac:dyDescent="0.3">
      <c r="A1" s="15" t="s">
        <v>511</v>
      </c>
      <c r="B1" s="105"/>
      <c r="C1" s="105"/>
      <c r="D1" s="105"/>
      <c r="E1" s="105"/>
      <c r="F1" s="105"/>
      <c r="G1" s="105"/>
      <c r="H1" s="105"/>
      <c r="I1" s="18"/>
    </row>
    <row r="2" spans="1:9" s="2" customFormat="1" ht="19.5" thickBot="1" x14ac:dyDescent="0.35">
      <c r="A2" s="15"/>
      <c r="B2" s="105"/>
      <c r="C2" s="105"/>
      <c r="D2" s="105"/>
      <c r="E2" s="105"/>
      <c r="F2" s="105"/>
      <c r="G2" s="105"/>
      <c r="H2" s="105"/>
      <c r="I2" s="18"/>
    </row>
    <row r="3" spans="1:9" s="2" customFormat="1" ht="35.2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32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8"/>
    </row>
    <row r="5" spans="1:9" s="32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8"/>
    </row>
    <row r="6" spans="1:9" s="32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8"/>
    </row>
    <row r="7" spans="1:9" s="32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8"/>
    </row>
    <row r="8" spans="1:9" s="32" customFormat="1" hidden="1" x14ac:dyDescent="0.25">
      <c r="A8" s="50"/>
      <c r="B8" s="51"/>
      <c r="C8" s="51"/>
      <c r="D8" s="51"/>
      <c r="E8" s="51"/>
      <c r="F8" s="51"/>
      <c r="G8" s="51"/>
      <c r="H8" s="51"/>
      <c r="I8" s="438"/>
    </row>
    <row r="9" spans="1:9" s="137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9"/>
    </row>
    <row r="10" spans="1:9" s="32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8"/>
    </row>
    <row r="11" spans="1:9" s="32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8"/>
    </row>
    <row r="12" spans="1:9" s="32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8"/>
    </row>
    <row r="13" spans="1:9" s="32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8"/>
    </row>
    <row r="14" spans="1:9" s="32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8"/>
    </row>
    <row r="15" spans="1:9" s="2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8"/>
    </row>
    <row r="16" spans="1:9" s="137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9"/>
    </row>
    <row r="17" spans="1:9" s="72" customFormat="1" hidden="1" x14ac:dyDescent="0.25">
      <c r="A17" s="60"/>
      <c r="B17" s="44"/>
      <c r="C17" s="44"/>
      <c r="D17" s="44"/>
      <c r="E17" s="44"/>
      <c r="F17" s="44"/>
      <c r="G17" s="44"/>
      <c r="H17" s="44"/>
      <c r="I17" s="438"/>
    </row>
    <row r="18" spans="1:9" s="32" customFormat="1" x14ac:dyDescent="0.25">
      <c r="A18" s="50" t="s">
        <v>316</v>
      </c>
      <c r="B18" s="170">
        <v>20000</v>
      </c>
      <c r="C18" s="165">
        <f t="shared" ref="C18:I19" si="0">B18*6.25%+B18</f>
        <v>21250</v>
      </c>
      <c r="D18" s="165"/>
      <c r="E18" s="165">
        <f>C18-D18</f>
        <v>21250</v>
      </c>
      <c r="F18" s="165">
        <f>-E18</f>
        <v>-21250</v>
      </c>
      <c r="G18" s="165">
        <f>C18+F18</f>
        <v>0</v>
      </c>
      <c r="H18" s="165">
        <f>C18*6.25%+C18</f>
        <v>22578.125</v>
      </c>
      <c r="I18" s="440">
        <f t="shared" si="0"/>
        <v>23989.2578125</v>
      </c>
    </row>
    <row r="19" spans="1:9" s="18" customFormat="1" x14ac:dyDescent="0.25">
      <c r="A19" s="50" t="s">
        <v>20</v>
      </c>
      <c r="B19" s="51">
        <v>10000</v>
      </c>
      <c r="C19" s="165">
        <f t="shared" si="0"/>
        <v>10625</v>
      </c>
      <c r="D19" s="165"/>
      <c r="E19" s="165">
        <f>C19-D19</f>
        <v>10625</v>
      </c>
      <c r="F19" s="165">
        <f>-E19</f>
        <v>-10625</v>
      </c>
      <c r="G19" s="165">
        <f>C19+F19</f>
        <v>0</v>
      </c>
      <c r="H19" s="165">
        <f>C19*6.25%+C19</f>
        <v>11289.0625</v>
      </c>
      <c r="I19" s="440">
        <f t="shared" si="0"/>
        <v>11994.62890625</v>
      </c>
    </row>
    <row r="20" spans="1:9" s="137" customFormat="1" x14ac:dyDescent="0.25">
      <c r="A20" s="342" t="s">
        <v>43</v>
      </c>
      <c r="B20" s="44">
        <f>SUM(B18:B19)</f>
        <v>30000</v>
      </c>
      <c r="C20" s="44">
        <f>SUM(C18:C19)</f>
        <v>31875</v>
      </c>
      <c r="D20" s="44">
        <f t="shared" ref="D20:E20" si="1">SUM(D18:D19)</f>
        <v>0</v>
      </c>
      <c r="E20" s="44">
        <f t="shared" si="1"/>
        <v>31875</v>
      </c>
      <c r="F20" s="44">
        <f t="shared" ref="F20:G20" si="2">SUM(F18:F19)</f>
        <v>-31875</v>
      </c>
      <c r="G20" s="44">
        <f t="shared" si="2"/>
        <v>0</v>
      </c>
      <c r="H20" s="44">
        <f>SUM(H18:H19)</f>
        <v>33867.1875</v>
      </c>
      <c r="I20" s="400">
        <f>SUM(I18:I19)</f>
        <v>35983.88671875</v>
      </c>
    </row>
    <row r="21" spans="1:9" s="18" customFormat="1" hidden="1" x14ac:dyDescent="0.25">
      <c r="A21" s="398"/>
      <c r="B21" s="51"/>
      <c r="C21" s="51"/>
      <c r="D21" s="51"/>
      <c r="E21" s="51"/>
      <c r="F21" s="51"/>
      <c r="G21" s="51"/>
      <c r="H21" s="51"/>
      <c r="I21" s="440">
        <f t="shared" ref="I21:I26" si="3">H21*5.4%+H21</f>
        <v>0</v>
      </c>
    </row>
    <row r="22" spans="1:9" s="32" customFormat="1" hidden="1" x14ac:dyDescent="0.25">
      <c r="A22" s="396">
        <v>140</v>
      </c>
      <c r="B22" s="170"/>
      <c r="C22" s="291">
        <f>B22*6.2%+B22</f>
        <v>0</v>
      </c>
      <c r="D22" s="291"/>
      <c r="E22" s="291"/>
      <c r="F22" s="291"/>
      <c r="G22" s="291"/>
      <c r="H22" s="291">
        <f>C22*5.9%+C22</f>
        <v>0</v>
      </c>
      <c r="I22" s="440">
        <f t="shared" si="3"/>
        <v>0</v>
      </c>
    </row>
    <row r="23" spans="1:9" s="32" customFormat="1" hidden="1" x14ac:dyDescent="0.25">
      <c r="A23" s="396">
        <v>140</v>
      </c>
      <c r="B23" s="170"/>
      <c r="C23" s="291">
        <f>B23*6.2%+B23</f>
        <v>0</v>
      </c>
      <c r="D23" s="291"/>
      <c r="E23" s="291"/>
      <c r="F23" s="291"/>
      <c r="G23" s="291"/>
      <c r="H23" s="291">
        <f>C23*5.9%+C23</f>
        <v>0</v>
      </c>
      <c r="I23" s="440">
        <f t="shared" si="3"/>
        <v>0</v>
      </c>
    </row>
    <row r="24" spans="1:9" s="32" customFormat="1" hidden="1" x14ac:dyDescent="0.25">
      <c r="A24" s="396">
        <v>140</v>
      </c>
      <c r="B24" s="170"/>
      <c r="C24" s="291">
        <f>B24*6.2%+B24</f>
        <v>0</v>
      </c>
      <c r="D24" s="291"/>
      <c r="E24" s="291"/>
      <c r="F24" s="291"/>
      <c r="G24" s="291"/>
      <c r="H24" s="291">
        <f>C24*5.9%+C24</f>
        <v>0</v>
      </c>
      <c r="I24" s="440">
        <f t="shared" si="3"/>
        <v>0</v>
      </c>
    </row>
    <row r="25" spans="1:9" s="18" customFormat="1" hidden="1" x14ac:dyDescent="0.25">
      <c r="A25" s="389"/>
      <c r="B25" s="91"/>
      <c r="C25" s="51"/>
      <c r="D25" s="51"/>
      <c r="E25" s="51"/>
      <c r="F25" s="51"/>
      <c r="G25" s="51"/>
      <c r="H25" s="51"/>
      <c r="I25" s="440">
        <f t="shared" si="3"/>
        <v>0</v>
      </c>
    </row>
    <row r="26" spans="1:9" s="70" customFormat="1" hidden="1" x14ac:dyDescent="0.25">
      <c r="A26" s="343" t="s">
        <v>42</v>
      </c>
      <c r="B26" s="44">
        <f>SUM(B22:B25)</f>
        <v>0</v>
      </c>
      <c r="C26" s="44">
        <f>SUM(C22:C25)</f>
        <v>0</v>
      </c>
      <c r="D26" s="44"/>
      <c r="E26" s="44"/>
      <c r="F26" s="44"/>
      <c r="G26" s="44"/>
      <c r="H26" s="44">
        <f>SUM(H22:H25)</f>
        <v>0</v>
      </c>
      <c r="I26" s="440">
        <f t="shared" si="3"/>
        <v>0</v>
      </c>
    </row>
    <row r="27" spans="1:9" s="70" customFormat="1" x14ac:dyDescent="0.25">
      <c r="A27" s="343"/>
      <c r="B27" s="44"/>
      <c r="C27" s="44"/>
      <c r="D27" s="44"/>
      <c r="E27" s="44"/>
      <c r="F27" s="44"/>
      <c r="G27" s="44"/>
      <c r="H27" s="44"/>
      <c r="I27" s="440"/>
    </row>
    <row r="28" spans="1:9" ht="15.75" thickBot="1" x14ac:dyDescent="0.3">
      <c r="A28" s="390" t="s">
        <v>48</v>
      </c>
      <c r="B28" s="391">
        <f>B9+B16+B20+B26</f>
        <v>30000</v>
      </c>
      <c r="C28" s="391">
        <f>C9+C16+C20+C26</f>
        <v>31875</v>
      </c>
      <c r="D28" s="391">
        <f t="shared" ref="D28:E28" si="4">D9+D16+D20+D26</f>
        <v>0</v>
      </c>
      <c r="E28" s="391">
        <f t="shared" si="4"/>
        <v>31875</v>
      </c>
      <c r="F28" s="391">
        <f t="shared" ref="F28:G28" si="5">F9+F16+F20+F26</f>
        <v>-31875</v>
      </c>
      <c r="G28" s="391">
        <f t="shared" si="5"/>
        <v>0</v>
      </c>
      <c r="H28" s="391">
        <f>H9+H16+H20+H26</f>
        <v>33867.1875</v>
      </c>
      <c r="I28" s="401">
        <f>I9+I16+I20+I26</f>
        <v>35983.88671875</v>
      </c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&amp;A&amp;RPage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I27"/>
  <sheetViews>
    <sheetView view="pageBreakPreview" zoomScale="90" zoomScaleNormal="100" zoomScaleSheetLayoutView="90" workbookViewId="0">
      <selection activeCell="F20" sqref="F20"/>
    </sheetView>
  </sheetViews>
  <sheetFormatPr defaultColWidth="9.28515625" defaultRowHeight="15" x14ac:dyDescent="0.25"/>
  <cols>
    <col min="1" max="1" width="28" style="19" customWidth="1"/>
    <col min="2" max="2" width="15" style="63" hidden="1" customWidth="1"/>
    <col min="3" max="7" width="16.7109375" style="63" customWidth="1"/>
    <col min="8" max="8" width="15.28515625" style="63" customWidth="1"/>
    <col min="9" max="9" width="15.42578125" style="19" customWidth="1"/>
    <col min="10" max="16384" width="9.28515625" style="19"/>
  </cols>
  <sheetData>
    <row r="1" spans="1:9" s="18" customFormat="1" ht="18.75" x14ac:dyDescent="0.3">
      <c r="A1" s="15" t="s">
        <v>512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35.2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9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9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9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9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9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9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9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9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9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9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9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x14ac:dyDescent="0.25">
      <c r="A17" s="60"/>
      <c r="B17" s="44"/>
      <c r="C17" s="44"/>
      <c r="D17" s="178"/>
      <c r="E17" s="178"/>
      <c r="F17" s="178"/>
      <c r="G17" s="178"/>
      <c r="H17" s="178"/>
      <c r="I17" s="439"/>
    </row>
    <row r="18" spans="1:9" s="18" customFormat="1" x14ac:dyDescent="0.25">
      <c r="A18" s="50" t="s">
        <v>316</v>
      </c>
      <c r="B18" s="215">
        <v>50000</v>
      </c>
      <c r="C18" s="165">
        <f t="shared" ref="C18:I19" si="0"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 t="shared" si="0"/>
        <v>59973.14453125</v>
      </c>
    </row>
    <row r="19" spans="1:9" s="18" customFormat="1" x14ac:dyDescent="0.25">
      <c r="A19" s="50" t="s">
        <v>20</v>
      </c>
      <c r="B19" s="51">
        <v>20000</v>
      </c>
      <c r="C19" s="165">
        <f t="shared" si="0"/>
        <v>21250</v>
      </c>
      <c r="D19" s="165"/>
      <c r="E19" s="165">
        <f>C19-D19</f>
        <v>21250</v>
      </c>
      <c r="F19" s="165">
        <f>-E19</f>
        <v>-21250</v>
      </c>
      <c r="G19" s="165">
        <f>C19+F19</f>
        <v>0</v>
      </c>
      <c r="H19" s="165">
        <f>C19*6.25%+C19</f>
        <v>22578.125</v>
      </c>
      <c r="I19" s="440">
        <f t="shared" si="0"/>
        <v>23989.2578125</v>
      </c>
    </row>
    <row r="20" spans="1:9" s="134" customFormat="1" x14ac:dyDescent="0.25">
      <c r="A20" s="342" t="s">
        <v>43</v>
      </c>
      <c r="B20" s="44">
        <f>SUM(B18:B19)</f>
        <v>70000</v>
      </c>
      <c r="C20" s="44">
        <f>SUM(C18:C19)</f>
        <v>74375</v>
      </c>
      <c r="D20" s="44">
        <f t="shared" ref="D20:E20" si="1">SUM(D18:D19)</f>
        <v>0</v>
      </c>
      <c r="E20" s="44">
        <f t="shared" si="1"/>
        <v>74375</v>
      </c>
      <c r="F20" s="44">
        <f t="shared" ref="F20:G20" si="2">SUM(F18:F19)</f>
        <v>-74375</v>
      </c>
      <c r="G20" s="44">
        <f t="shared" si="2"/>
        <v>0</v>
      </c>
      <c r="H20" s="44">
        <f>SUM(H18:H19)</f>
        <v>79023.4375</v>
      </c>
      <c r="I20" s="400">
        <f>SUM(I18:I19)</f>
        <v>83962.40234375</v>
      </c>
    </row>
    <row r="21" spans="1:9" s="18" customFormat="1" hidden="1" x14ac:dyDescent="0.25">
      <c r="A21" s="398"/>
      <c r="B21" s="51"/>
      <c r="C21" s="51"/>
      <c r="D21" s="177"/>
      <c r="E21" s="177"/>
      <c r="F21" s="177"/>
      <c r="G21" s="177"/>
      <c r="H21" s="177"/>
      <c r="I21" s="441">
        <f>H21*5.4%+H21</f>
        <v>0</v>
      </c>
    </row>
    <row r="22" spans="1:9" s="18" customFormat="1" hidden="1" x14ac:dyDescent="0.25">
      <c r="A22" s="341">
        <v>141</v>
      </c>
      <c r="B22" s="215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1">
        <f>H22*5.4%+H22</f>
        <v>0</v>
      </c>
    </row>
    <row r="23" spans="1:9" s="18" customFormat="1" hidden="1" x14ac:dyDescent="0.25">
      <c r="A23" s="341">
        <v>141</v>
      </c>
      <c r="B23" s="215"/>
      <c r="C23" s="165">
        <f>B23*6.2%+B23</f>
        <v>0</v>
      </c>
      <c r="D23" s="214"/>
      <c r="E23" s="214"/>
      <c r="F23" s="214"/>
      <c r="G23" s="214"/>
      <c r="H23" s="214">
        <f>C23*5.9%+C23</f>
        <v>0</v>
      </c>
      <c r="I23" s="441">
        <f>H23*5.4%+H23</f>
        <v>0</v>
      </c>
    </row>
    <row r="24" spans="1:9" s="18" customFormat="1" hidden="1" x14ac:dyDescent="0.25">
      <c r="A24" s="341">
        <v>141</v>
      </c>
      <c r="B24" s="215"/>
      <c r="C24" s="165">
        <f>B24*6.2%+B24</f>
        <v>0</v>
      </c>
      <c r="D24" s="214"/>
      <c r="E24" s="214"/>
      <c r="F24" s="214"/>
      <c r="G24" s="214"/>
      <c r="H24" s="214">
        <f>C24*5.9%+C24</f>
        <v>0</v>
      </c>
      <c r="I24" s="441">
        <f>H24*5.4%+H24</f>
        <v>0</v>
      </c>
    </row>
    <row r="25" spans="1:9" s="134" customFormat="1" hidden="1" x14ac:dyDescent="0.25">
      <c r="A25" s="343" t="s">
        <v>42</v>
      </c>
      <c r="B25" s="44">
        <f>SUM(B22:B24)</f>
        <v>0</v>
      </c>
      <c r="C25" s="44">
        <f>SUM(C22:C24)</f>
        <v>0</v>
      </c>
      <c r="D25" s="178"/>
      <c r="E25" s="178"/>
      <c r="F25" s="178"/>
      <c r="G25" s="178"/>
      <c r="H25" s="178">
        <f>SUM(H22:H24)</f>
        <v>0</v>
      </c>
      <c r="I25" s="441">
        <f>H25*5.4%+H25</f>
        <v>0</v>
      </c>
    </row>
    <row r="26" spans="1:9" s="134" customFormat="1" x14ac:dyDescent="0.25">
      <c r="A26" s="343"/>
      <c r="B26" s="44"/>
      <c r="C26" s="44"/>
      <c r="D26" s="178"/>
      <c r="E26" s="178"/>
      <c r="F26" s="178"/>
      <c r="G26" s="178"/>
      <c r="H26" s="178"/>
      <c r="I26" s="441"/>
    </row>
    <row r="27" spans="1:9" ht="15.75" thickBot="1" x14ac:dyDescent="0.3">
      <c r="A27" s="390" t="s">
        <v>48</v>
      </c>
      <c r="B27" s="391">
        <f>B9+B16+B20+B25</f>
        <v>70000</v>
      </c>
      <c r="C27" s="391">
        <f>C9+C16+C20+C25</f>
        <v>74375</v>
      </c>
      <c r="D27" s="391">
        <f t="shared" ref="D27:E27" si="3">D9+D16+D20+D25</f>
        <v>0</v>
      </c>
      <c r="E27" s="391">
        <f t="shared" si="3"/>
        <v>74375</v>
      </c>
      <c r="F27" s="391">
        <f t="shared" ref="F27:G27" si="4">F9+F16+F20+F25</f>
        <v>-74375</v>
      </c>
      <c r="G27" s="391">
        <f t="shared" si="4"/>
        <v>0</v>
      </c>
      <c r="H27" s="391">
        <f>H9+H16+H20+H25</f>
        <v>79023.4375</v>
      </c>
      <c r="I27" s="401">
        <f>I9+I16+I20+I25</f>
        <v>83962.40234375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&amp;A&amp;RPage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I27"/>
  <sheetViews>
    <sheetView view="pageBreakPreview" zoomScale="90" zoomScaleNormal="100" zoomScaleSheetLayoutView="90" workbookViewId="0">
      <selection activeCell="F20" sqref="F20"/>
    </sheetView>
  </sheetViews>
  <sheetFormatPr defaultColWidth="9.28515625" defaultRowHeight="15" x14ac:dyDescent="0.25"/>
  <cols>
    <col min="1" max="1" width="29.28515625" style="19" customWidth="1"/>
    <col min="2" max="2" width="14.7109375" style="63" hidden="1" customWidth="1"/>
    <col min="3" max="7" width="14.7109375" style="63" customWidth="1"/>
    <col min="8" max="8" width="15.28515625" style="63" customWidth="1"/>
    <col min="9" max="9" width="11.85546875" style="19" customWidth="1"/>
    <col min="10" max="16384" width="9.28515625" style="19"/>
  </cols>
  <sheetData>
    <row r="1" spans="1:9" s="18" customFormat="1" ht="18.75" x14ac:dyDescent="0.3">
      <c r="A1" s="15" t="s">
        <v>513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35.25" customHeight="1" thickBot="1" x14ac:dyDescent="0.3">
      <c r="A3" s="394" t="s">
        <v>39</v>
      </c>
      <c r="B3" s="206" t="s">
        <v>393</v>
      </c>
      <c r="C3" s="198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198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50" t="s">
        <v>316</v>
      </c>
      <c r="B18" s="215">
        <v>100000</v>
      </c>
      <c r="C18" s="165">
        <f t="shared" ref="C18:I19" si="0">B18*6.25%+B18</f>
        <v>106250</v>
      </c>
      <c r="D18" s="165"/>
      <c r="E18" s="165">
        <f>C18-D18</f>
        <v>106250</v>
      </c>
      <c r="F18" s="165">
        <f>-E18</f>
        <v>-106250</v>
      </c>
      <c r="G18" s="165">
        <f>C18+F18</f>
        <v>0</v>
      </c>
      <c r="H18" s="165">
        <f>C18*6.25%+C18</f>
        <v>112890.625</v>
      </c>
      <c r="I18" s="440">
        <f t="shared" si="0"/>
        <v>119946.2890625</v>
      </c>
    </row>
    <row r="19" spans="1:9" s="18" customFormat="1" x14ac:dyDescent="0.25">
      <c r="A19" s="50" t="s">
        <v>20</v>
      </c>
      <c r="B19" s="51">
        <v>20000</v>
      </c>
      <c r="C19" s="165">
        <f t="shared" si="0"/>
        <v>21250</v>
      </c>
      <c r="D19" s="165"/>
      <c r="E19" s="165">
        <f>C19-D19</f>
        <v>21250</v>
      </c>
      <c r="F19" s="165">
        <f>-E19</f>
        <v>-21250</v>
      </c>
      <c r="G19" s="165">
        <f>C19+F19</f>
        <v>0</v>
      </c>
      <c r="H19" s="165">
        <f>C19*6.25%+C19</f>
        <v>22578.125</v>
      </c>
      <c r="I19" s="440">
        <f t="shared" si="0"/>
        <v>23989.2578125</v>
      </c>
    </row>
    <row r="20" spans="1:9" s="134" customFormat="1" x14ac:dyDescent="0.25">
      <c r="A20" s="342" t="s">
        <v>43</v>
      </c>
      <c r="B20" s="44">
        <f>SUM(B18:B19)</f>
        <v>120000</v>
      </c>
      <c r="C20" s="44">
        <f>SUM(C18:C19)</f>
        <v>127500</v>
      </c>
      <c r="D20" s="44">
        <f t="shared" ref="D20:E20" si="1">SUM(D18:D19)</f>
        <v>0</v>
      </c>
      <c r="E20" s="44">
        <f t="shared" si="1"/>
        <v>127500</v>
      </c>
      <c r="F20" s="44">
        <f t="shared" ref="F20:G20" si="2">SUM(F18:F19)</f>
        <v>-127500</v>
      </c>
      <c r="G20" s="44">
        <f t="shared" si="2"/>
        <v>0</v>
      </c>
      <c r="H20" s="44">
        <f>SUM(H18:H19)</f>
        <v>135468.75</v>
      </c>
      <c r="I20" s="400">
        <f>SUM(I18:I19)</f>
        <v>143935.546875</v>
      </c>
    </row>
    <row r="21" spans="1:9" s="18" customFormat="1" x14ac:dyDescent="0.25">
      <c r="A21" s="398"/>
      <c r="B21" s="51"/>
      <c r="C21" s="51"/>
      <c r="D21" s="177"/>
      <c r="E21" s="177"/>
      <c r="F21" s="177"/>
      <c r="G21" s="177"/>
      <c r="H21" s="177"/>
      <c r="I21" s="440">
        <f t="shared" ref="I21:I26" si="3">H21*5.4%+H21</f>
        <v>0</v>
      </c>
    </row>
    <row r="22" spans="1:9" s="18" customFormat="1" hidden="1" x14ac:dyDescent="0.25">
      <c r="A22" s="341">
        <v>142</v>
      </c>
      <c r="B22" s="215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0">
        <f t="shared" si="3"/>
        <v>0</v>
      </c>
    </row>
    <row r="23" spans="1:9" s="18" customFormat="1" hidden="1" x14ac:dyDescent="0.25">
      <c r="A23" s="341">
        <v>142</v>
      </c>
      <c r="B23" s="215"/>
      <c r="C23" s="165">
        <f>B23*6.2%+B23</f>
        <v>0</v>
      </c>
      <c r="D23" s="214"/>
      <c r="E23" s="214"/>
      <c r="F23" s="214"/>
      <c r="G23" s="214"/>
      <c r="H23" s="214">
        <f>C23*5.9%+C23</f>
        <v>0</v>
      </c>
      <c r="I23" s="440">
        <f t="shared" si="3"/>
        <v>0</v>
      </c>
    </row>
    <row r="24" spans="1:9" s="18" customFormat="1" hidden="1" x14ac:dyDescent="0.25">
      <c r="A24" s="341">
        <v>142</v>
      </c>
      <c r="B24" s="215"/>
      <c r="C24" s="165">
        <f>B24*6.2%+B24</f>
        <v>0</v>
      </c>
      <c r="D24" s="214"/>
      <c r="E24" s="214"/>
      <c r="F24" s="214"/>
      <c r="G24" s="214"/>
      <c r="H24" s="214">
        <f>C24*5.9%+C24</f>
        <v>0</v>
      </c>
      <c r="I24" s="440">
        <f t="shared" si="3"/>
        <v>0</v>
      </c>
    </row>
    <row r="25" spans="1:9" s="18" customFormat="1" hidden="1" x14ac:dyDescent="0.25">
      <c r="A25" s="396"/>
      <c r="B25" s="91"/>
      <c r="C25" s="51"/>
      <c r="D25" s="177"/>
      <c r="E25" s="177"/>
      <c r="F25" s="177"/>
      <c r="G25" s="177"/>
      <c r="H25" s="177"/>
      <c r="I25" s="440">
        <f t="shared" si="3"/>
        <v>0</v>
      </c>
    </row>
    <row r="26" spans="1:9" s="134" customFormat="1" hidden="1" x14ac:dyDescent="0.25">
      <c r="A26" s="343" t="s">
        <v>42</v>
      </c>
      <c r="B26" s="44">
        <f>SUM(B22:B25)</f>
        <v>0</v>
      </c>
      <c r="C26" s="44">
        <f>SUM(C22:C25)</f>
        <v>0</v>
      </c>
      <c r="D26" s="178"/>
      <c r="E26" s="178"/>
      <c r="F26" s="178"/>
      <c r="G26" s="178"/>
      <c r="H26" s="178">
        <f>SUM(H22:H25)</f>
        <v>0</v>
      </c>
      <c r="I26" s="440">
        <f t="shared" si="3"/>
        <v>0</v>
      </c>
    </row>
    <row r="27" spans="1:9" ht="15.75" thickBot="1" x14ac:dyDescent="0.3">
      <c r="A27" s="390" t="s">
        <v>48</v>
      </c>
      <c r="B27" s="391">
        <f>B9+B16+B20+B26</f>
        <v>120000</v>
      </c>
      <c r="C27" s="391">
        <f>C9+C16+C20+C26</f>
        <v>127500</v>
      </c>
      <c r="D27" s="391">
        <f t="shared" ref="D27:E27" si="4">D9+D16+D20+D26</f>
        <v>0</v>
      </c>
      <c r="E27" s="391">
        <f t="shared" si="4"/>
        <v>127500</v>
      </c>
      <c r="F27" s="391">
        <f t="shared" ref="F27:G27" si="5">F9+F16+F20+F26</f>
        <v>-127500</v>
      </c>
      <c r="G27" s="391">
        <f t="shared" si="5"/>
        <v>0</v>
      </c>
      <c r="H27" s="391">
        <f>H9+H16+H20+H26</f>
        <v>135468.75</v>
      </c>
      <c r="I27" s="401">
        <f>I9+I16+I20+I26</f>
        <v>143935.546875</v>
      </c>
    </row>
  </sheetData>
  <pageMargins left="0.7" right="0.7" top="0.75" bottom="0.75" header="0.3" footer="0.3"/>
  <pageSetup scale="69" orientation="portrait" r:id="rId1"/>
  <headerFooter>
    <oddFooter>&amp;A&amp;RPage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I25"/>
  <sheetViews>
    <sheetView view="pageBreakPreview" zoomScale="90" zoomScaleNormal="100" zoomScaleSheetLayoutView="90" workbookViewId="0">
      <selection activeCell="F19" sqref="F19"/>
    </sheetView>
  </sheetViews>
  <sheetFormatPr defaultColWidth="9.28515625" defaultRowHeight="15" x14ac:dyDescent="0.25"/>
  <cols>
    <col min="1" max="1" width="29.28515625" style="19" customWidth="1"/>
    <col min="2" max="2" width="14" style="63" hidden="1" customWidth="1"/>
    <col min="3" max="7" width="13.42578125" style="63" customWidth="1"/>
    <col min="8" max="8" width="10.85546875" style="63" customWidth="1"/>
    <col min="9" max="9" width="12.85546875" style="19" customWidth="1"/>
    <col min="10" max="16384" width="9.28515625" style="19"/>
  </cols>
  <sheetData>
    <row r="1" spans="1:9" s="18" customFormat="1" ht="18.75" x14ac:dyDescent="0.3">
      <c r="A1" s="15" t="s">
        <v>514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3.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92" t="s">
        <v>164</v>
      </c>
      <c r="G3" s="692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50" t="s">
        <v>316</v>
      </c>
      <c r="B18" s="215">
        <v>50000</v>
      </c>
      <c r="C18" s="165">
        <v>737800</v>
      </c>
      <c r="D18" s="214"/>
      <c r="E18" s="214">
        <f>C18-D18</f>
        <v>737800</v>
      </c>
      <c r="F18" s="214">
        <f>-E18</f>
        <v>-737800</v>
      </c>
      <c r="G18" s="214">
        <f>C18+F18</f>
        <v>0</v>
      </c>
      <c r="H18" s="214">
        <f>C18*6.25%+C18</f>
        <v>783912.5</v>
      </c>
      <c r="I18" s="440">
        <f>H18*6.25%+H18</f>
        <v>832907.03125</v>
      </c>
    </row>
    <row r="19" spans="1:9" s="134" customFormat="1" x14ac:dyDescent="0.25">
      <c r="A19" s="342" t="s">
        <v>43</v>
      </c>
      <c r="B19" s="44">
        <f>SUM(B18)</f>
        <v>50000</v>
      </c>
      <c r="C19" s="44">
        <f>SUM(C18)</f>
        <v>737800</v>
      </c>
      <c r="D19" s="44">
        <f t="shared" ref="D19:E19" si="0">SUM(D18)</f>
        <v>0</v>
      </c>
      <c r="E19" s="44">
        <f t="shared" si="0"/>
        <v>737800</v>
      </c>
      <c r="F19" s="44">
        <f t="shared" ref="F19:G19" si="1">SUM(F18)</f>
        <v>-737800</v>
      </c>
      <c r="G19" s="44">
        <f t="shared" si="1"/>
        <v>0</v>
      </c>
      <c r="H19" s="44">
        <f>SUM(H18)</f>
        <v>783912.5</v>
      </c>
      <c r="I19" s="400">
        <f>SUM(I18)</f>
        <v>832907.03125</v>
      </c>
    </row>
    <row r="20" spans="1:9" s="18" customFormat="1" hidden="1" x14ac:dyDescent="0.25">
      <c r="A20" s="398"/>
      <c r="B20" s="51"/>
      <c r="C20" s="51"/>
      <c r="D20" s="177"/>
      <c r="E20" s="177"/>
      <c r="F20" s="177"/>
      <c r="G20" s="177"/>
      <c r="H20" s="349">
        <f>C20*5.4%+C20</f>
        <v>0</v>
      </c>
      <c r="I20" s="441">
        <f t="shared" ref="I20:I23" si="2">H20*5.4%+H20</f>
        <v>0</v>
      </c>
    </row>
    <row r="21" spans="1:9" s="18" customFormat="1" hidden="1" x14ac:dyDescent="0.25">
      <c r="A21" s="341">
        <v>143</v>
      </c>
      <c r="B21" s="215"/>
      <c r="C21" s="165">
        <f>B21*6.2%+B21</f>
        <v>0</v>
      </c>
      <c r="D21" s="214"/>
      <c r="E21" s="214"/>
      <c r="F21" s="214"/>
      <c r="G21" s="214"/>
      <c r="H21" s="349">
        <f>C21*5.4%+C21</f>
        <v>0</v>
      </c>
      <c r="I21" s="441">
        <f t="shared" si="2"/>
        <v>0</v>
      </c>
    </row>
    <row r="22" spans="1:9" s="18" customFormat="1" hidden="1" x14ac:dyDescent="0.25">
      <c r="A22" s="389"/>
      <c r="B22" s="91"/>
      <c r="C22" s="51">
        <v>0</v>
      </c>
      <c r="D22" s="177"/>
      <c r="E22" s="177"/>
      <c r="F22" s="177"/>
      <c r="G22" s="177"/>
      <c r="H22" s="349">
        <f>C22*5.4%+C22</f>
        <v>0</v>
      </c>
      <c r="I22" s="441">
        <f t="shared" si="2"/>
        <v>0</v>
      </c>
    </row>
    <row r="23" spans="1:9" s="134" customFormat="1" hidden="1" x14ac:dyDescent="0.25">
      <c r="A23" s="343" t="s">
        <v>42</v>
      </c>
      <c r="B23" s="44">
        <f>SUM(B21:B22)</f>
        <v>0</v>
      </c>
      <c r="C23" s="44">
        <f>SUM(C21:C22)</f>
        <v>0</v>
      </c>
      <c r="D23" s="178"/>
      <c r="E23" s="178"/>
      <c r="F23" s="178"/>
      <c r="G23" s="178"/>
      <c r="H23" s="349">
        <f>C23*5.4%+C23</f>
        <v>0</v>
      </c>
      <c r="I23" s="441">
        <f t="shared" si="2"/>
        <v>0</v>
      </c>
    </row>
    <row r="24" spans="1:9" s="134" customFormat="1" x14ac:dyDescent="0.25">
      <c r="A24" s="343"/>
      <c r="B24" s="44"/>
      <c r="C24" s="44"/>
      <c r="D24" s="178"/>
      <c r="E24" s="178"/>
      <c r="F24" s="178"/>
      <c r="G24" s="178"/>
      <c r="H24" s="349"/>
      <c r="I24" s="441"/>
    </row>
    <row r="25" spans="1:9" ht="15.75" thickBot="1" x14ac:dyDescent="0.3">
      <c r="A25" s="390" t="s">
        <v>48</v>
      </c>
      <c r="B25" s="391">
        <f>B9+B16+B19+B23</f>
        <v>50000</v>
      </c>
      <c r="C25" s="391">
        <f>C9+C16+C19+C23</f>
        <v>737800</v>
      </c>
      <c r="D25" s="391">
        <f t="shared" ref="D25:E25" si="3">D9+D16+D19+D23</f>
        <v>0</v>
      </c>
      <c r="E25" s="391">
        <f t="shared" si="3"/>
        <v>737800</v>
      </c>
      <c r="F25" s="391">
        <f t="shared" ref="F25:G25" si="4">F9+F16+F19+F23</f>
        <v>-737800</v>
      </c>
      <c r="G25" s="391">
        <f t="shared" si="4"/>
        <v>0</v>
      </c>
      <c r="H25" s="391">
        <f>H9+H16+H19+H23</f>
        <v>783912.5</v>
      </c>
      <c r="I25" s="401">
        <f>I9+I16+I19+I23</f>
        <v>832907.03125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&amp;A&amp;RPage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I27"/>
  <sheetViews>
    <sheetView view="pageBreakPreview" zoomScaleNormal="100" zoomScaleSheetLayoutView="100" workbookViewId="0">
      <selection activeCell="F19" sqref="F19"/>
    </sheetView>
  </sheetViews>
  <sheetFormatPr defaultColWidth="9.28515625" defaultRowHeight="15" x14ac:dyDescent="0.25"/>
  <cols>
    <col min="1" max="1" width="27.7109375" style="19" customWidth="1"/>
    <col min="2" max="2" width="14.28515625" style="63" hidden="1" customWidth="1"/>
    <col min="3" max="7" width="14.42578125" style="63" customWidth="1"/>
    <col min="8" max="8" width="13.28515625" style="63" customWidth="1"/>
    <col min="9" max="9" width="13.85546875" style="19" customWidth="1"/>
    <col min="10" max="16384" width="9.28515625" style="19"/>
  </cols>
  <sheetData>
    <row r="1" spans="1:9" s="18" customFormat="1" ht="18.75" x14ac:dyDescent="0.3">
      <c r="A1" s="15" t="s">
        <v>515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2.75" customHeight="1" thickBot="1" x14ac:dyDescent="0.3">
      <c r="A3" s="394" t="s">
        <v>39</v>
      </c>
      <c r="B3" s="206" t="s">
        <v>393</v>
      </c>
      <c r="C3" s="198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198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45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45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45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45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45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46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45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45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45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45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45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45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46"/>
    </row>
    <row r="17" spans="1:9" hidden="1" x14ac:dyDescent="0.25">
      <c r="A17" s="60"/>
      <c r="B17" s="44"/>
      <c r="C17" s="44"/>
      <c r="D17" s="178"/>
      <c r="E17" s="178"/>
      <c r="F17" s="178"/>
      <c r="G17" s="178"/>
      <c r="H17" s="178"/>
      <c r="I17" s="445"/>
    </row>
    <row r="18" spans="1:9" s="18" customFormat="1" x14ac:dyDescent="0.25">
      <c r="A18" s="50" t="s">
        <v>316</v>
      </c>
      <c r="B18" s="215">
        <f>30400000</f>
        <v>30400000</v>
      </c>
      <c r="C18" s="165">
        <v>1300000</v>
      </c>
      <c r="D18" s="165"/>
      <c r="E18" s="165">
        <f>C18-D18</f>
        <v>1300000</v>
      </c>
      <c r="F18" s="165">
        <f>-E18</f>
        <v>-1300000</v>
      </c>
      <c r="G18" s="165">
        <f>C18+F18</f>
        <v>0</v>
      </c>
      <c r="H18" s="165">
        <f>C18*6.25%+C18</f>
        <v>1381250</v>
      </c>
      <c r="I18" s="440">
        <f t="shared" ref="C18:I19" si="0">H18*6.25%+H18</f>
        <v>1467578.125</v>
      </c>
    </row>
    <row r="19" spans="1:9" s="18" customFormat="1" x14ac:dyDescent="0.25">
      <c r="A19" s="50" t="s">
        <v>20</v>
      </c>
      <c r="B19" s="215">
        <v>20000</v>
      </c>
      <c r="C19" s="165">
        <f t="shared" si="0"/>
        <v>21250</v>
      </c>
      <c r="D19" s="165">
        <v>2485</v>
      </c>
      <c r="E19" s="165">
        <f>C19-D19</f>
        <v>18765</v>
      </c>
      <c r="F19" s="165">
        <v>0</v>
      </c>
      <c r="G19" s="165">
        <f>C19+F19</f>
        <v>21250</v>
      </c>
      <c r="H19" s="165">
        <f>C19*6.25%+C19</f>
        <v>22578.125</v>
      </c>
      <c r="I19" s="440">
        <f t="shared" si="0"/>
        <v>23989.2578125</v>
      </c>
    </row>
    <row r="20" spans="1:9" s="134" customFormat="1" x14ac:dyDescent="0.25">
      <c r="A20" s="342" t="s">
        <v>43</v>
      </c>
      <c r="B20" s="44">
        <f>SUM(B18:B19)</f>
        <v>30420000</v>
      </c>
      <c r="C20" s="44">
        <f>SUM(C18:C19)</f>
        <v>1321250</v>
      </c>
      <c r="D20" s="44">
        <f>SUM(D18:D19)</f>
        <v>2485</v>
      </c>
      <c r="E20" s="44">
        <f>SUM(E18:E19)</f>
        <v>1318765</v>
      </c>
      <c r="F20" s="44">
        <f t="shared" ref="F20:G20" si="1">SUM(F18:F19)</f>
        <v>-1300000</v>
      </c>
      <c r="G20" s="44">
        <f t="shared" si="1"/>
        <v>21250</v>
      </c>
      <c r="H20" s="44">
        <f>SUM(H18:H19)</f>
        <v>1403828.125</v>
      </c>
      <c r="I20" s="400">
        <f>SUM(I18:I19)</f>
        <v>1491567.3828125</v>
      </c>
    </row>
    <row r="21" spans="1:9" s="18" customFormat="1" hidden="1" x14ac:dyDescent="0.25">
      <c r="A21" s="398"/>
      <c r="B21" s="51"/>
      <c r="C21" s="51"/>
      <c r="D21" s="51"/>
      <c r="E21" s="51"/>
      <c r="F21" s="51"/>
      <c r="G21" s="51"/>
      <c r="H21" s="44"/>
      <c r="I21" s="441">
        <f>H21*5.4%+H21</f>
        <v>0</v>
      </c>
    </row>
    <row r="22" spans="1:9" s="18" customFormat="1" hidden="1" x14ac:dyDescent="0.25">
      <c r="A22" s="341">
        <v>144</v>
      </c>
      <c r="B22" s="215"/>
      <c r="C22" s="165">
        <f>B22*6.2%+B22</f>
        <v>0</v>
      </c>
      <c r="D22" s="165"/>
      <c r="E22" s="165"/>
      <c r="F22" s="165"/>
      <c r="G22" s="165"/>
      <c r="H22" s="205">
        <f>C22*5.9%+C22</f>
        <v>0</v>
      </c>
      <c r="I22" s="441">
        <f>H22*5.4%+H22</f>
        <v>0</v>
      </c>
    </row>
    <row r="23" spans="1:9" s="18" customFormat="1" hidden="1" x14ac:dyDescent="0.25">
      <c r="A23" s="341">
        <v>144</v>
      </c>
      <c r="B23" s="215"/>
      <c r="C23" s="165">
        <f>B23*6.2%+B23</f>
        <v>0</v>
      </c>
      <c r="D23" s="165"/>
      <c r="E23" s="165"/>
      <c r="F23" s="165"/>
      <c r="G23" s="165"/>
      <c r="H23" s="205">
        <f>C23*5.9%+C23</f>
        <v>0</v>
      </c>
      <c r="I23" s="441">
        <f>H23*5.4%+H23</f>
        <v>0</v>
      </c>
    </row>
    <row r="24" spans="1:9" s="18" customFormat="1" hidden="1" x14ac:dyDescent="0.25">
      <c r="A24" s="341">
        <v>144</v>
      </c>
      <c r="B24" s="215"/>
      <c r="C24" s="165">
        <f>B24*6.2%+B24</f>
        <v>0</v>
      </c>
      <c r="D24" s="165"/>
      <c r="E24" s="165"/>
      <c r="F24" s="165"/>
      <c r="G24" s="165"/>
      <c r="H24" s="205">
        <f>C24*5.9%+C24</f>
        <v>0</v>
      </c>
      <c r="I24" s="441">
        <f>H24*5.4%+H24</f>
        <v>0</v>
      </c>
    </row>
    <row r="25" spans="1:9" s="134" customFormat="1" hidden="1" x14ac:dyDescent="0.25">
      <c r="A25" s="343" t="s">
        <v>42</v>
      </c>
      <c r="B25" s="44">
        <f>SUM(B22:B24)</f>
        <v>0</v>
      </c>
      <c r="C25" s="44">
        <f>SUM(C22:C24)</f>
        <v>0</v>
      </c>
      <c r="D25" s="44"/>
      <c r="E25" s="44"/>
      <c r="F25" s="44"/>
      <c r="G25" s="44"/>
      <c r="H25" s="44">
        <f>SUM(H22:H24)</f>
        <v>0</v>
      </c>
      <c r="I25" s="441">
        <f>H25*5.4%+H25</f>
        <v>0</v>
      </c>
    </row>
    <row r="26" spans="1:9" s="134" customFormat="1" x14ac:dyDescent="0.25">
      <c r="A26" s="343"/>
      <c r="B26" s="44"/>
      <c r="C26" s="44"/>
      <c r="D26" s="44"/>
      <c r="E26" s="44"/>
      <c r="F26" s="44"/>
      <c r="G26" s="44"/>
      <c r="H26" s="44"/>
      <c r="I26" s="441"/>
    </row>
    <row r="27" spans="1:9" ht="14.25" customHeight="1" thickBot="1" x14ac:dyDescent="0.3">
      <c r="A27" s="390" t="s">
        <v>48</v>
      </c>
      <c r="B27" s="391">
        <f>B9+B16+B20+B25</f>
        <v>30420000</v>
      </c>
      <c r="C27" s="391">
        <f>C9+C16+C20+C25</f>
        <v>1321250</v>
      </c>
      <c r="D27" s="391">
        <f>D9+D16+D20+D25</f>
        <v>2485</v>
      </c>
      <c r="E27" s="391">
        <f>E9+E16+E20+E25</f>
        <v>1318765</v>
      </c>
      <c r="F27" s="391">
        <f t="shared" ref="F27:G27" si="2">F9+F16+F20+F25</f>
        <v>-1300000</v>
      </c>
      <c r="G27" s="391">
        <f t="shared" si="2"/>
        <v>21250</v>
      </c>
      <c r="H27" s="391">
        <f>H9+H16+H20+H25</f>
        <v>1403828.125</v>
      </c>
      <c r="I27" s="401">
        <f>I9+I16+I20+I25</f>
        <v>1491567.3828125</v>
      </c>
    </row>
  </sheetData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&amp;A&amp;RPage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I26"/>
  <sheetViews>
    <sheetView view="pageBreakPreview" zoomScale="80" zoomScaleNormal="100" zoomScaleSheetLayoutView="80" workbookViewId="0">
      <selection activeCell="F19" sqref="F19"/>
    </sheetView>
  </sheetViews>
  <sheetFormatPr defaultColWidth="9.28515625" defaultRowHeight="15" x14ac:dyDescent="0.25"/>
  <cols>
    <col min="1" max="1" width="31.85546875" style="19" customWidth="1"/>
    <col min="2" max="2" width="17.7109375" style="63" hidden="1" customWidth="1"/>
    <col min="3" max="7" width="16.42578125" style="63" customWidth="1"/>
    <col min="8" max="8" width="15.28515625" style="63" customWidth="1"/>
    <col min="9" max="9" width="13.7109375" style="19" customWidth="1"/>
    <col min="10" max="16384" width="9.28515625" style="19"/>
  </cols>
  <sheetData>
    <row r="1" spans="1:9" s="18" customFormat="1" ht="18.75" x14ac:dyDescent="0.3">
      <c r="A1" s="15" t="s">
        <v>516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1.2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hidden="1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50" t="s">
        <v>316</v>
      </c>
      <c r="B18" s="215">
        <v>50000</v>
      </c>
      <c r="C18" s="165">
        <f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>H18*6.25%+H18</f>
        <v>59973.14453125</v>
      </c>
    </row>
    <row r="19" spans="1:9" s="134" customFormat="1" x14ac:dyDescent="0.25">
      <c r="A19" s="342" t="s">
        <v>43</v>
      </c>
      <c r="B19" s="44">
        <f>SUM(B18)</f>
        <v>50000</v>
      </c>
      <c r="C19" s="44">
        <f>SUM(C18)</f>
        <v>53125</v>
      </c>
      <c r="D19" s="44">
        <f t="shared" ref="D19:E19" si="0">SUM(D18)</f>
        <v>0</v>
      </c>
      <c r="E19" s="44">
        <f t="shared" si="0"/>
        <v>53125</v>
      </c>
      <c r="F19" s="44">
        <f t="shared" ref="F19:G19" si="1">SUM(F18)</f>
        <v>-53125</v>
      </c>
      <c r="G19" s="44">
        <f t="shared" si="1"/>
        <v>0</v>
      </c>
      <c r="H19" s="44">
        <f>SUM(H18)</f>
        <v>56445.3125</v>
      </c>
      <c r="I19" s="400">
        <f>SUM(I18)</f>
        <v>59973.14453125</v>
      </c>
    </row>
    <row r="20" spans="1:9" s="18" customFormat="1" hidden="1" x14ac:dyDescent="0.25">
      <c r="A20" s="398"/>
      <c r="B20" s="51"/>
      <c r="C20" s="51"/>
      <c r="D20" s="177"/>
      <c r="E20" s="177"/>
      <c r="F20" s="177"/>
      <c r="G20" s="177"/>
      <c r="H20" s="349">
        <f>C20*5.4%+C20</f>
        <v>0</v>
      </c>
      <c r="I20" s="441">
        <f t="shared" ref="I20:I24" si="2">H20*5.4%+H20</f>
        <v>0</v>
      </c>
    </row>
    <row r="21" spans="1:9" s="18" customFormat="1" hidden="1" x14ac:dyDescent="0.25">
      <c r="A21" s="341">
        <v>145</v>
      </c>
      <c r="B21" s="215"/>
      <c r="C21" s="165">
        <f>B21*6.2%+B21</f>
        <v>0</v>
      </c>
      <c r="D21" s="214"/>
      <c r="E21" s="214"/>
      <c r="F21" s="214"/>
      <c r="G21" s="214"/>
      <c r="H21" s="349">
        <f>C21*5.4%+C21</f>
        <v>0</v>
      </c>
      <c r="I21" s="441">
        <f t="shared" si="2"/>
        <v>0</v>
      </c>
    </row>
    <row r="22" spans="1:9" s="18" customFormat="1" hidden="1" x14ac:dyDescent="0.25">
      <c r="A22" s="341">
        <v>145</v>
      </c>
      <c r="B22" s="215"/>
      <c r="C22" s="165">
        <f>B22*6.2%+B22</f>
        <v>0</v>
      </c>
      <c r="D22" s="214"/>
      <c r="E22" s="214"/>
      <c r="F22" s="214"/>
      <c r="G22" s="214"/>
      <c r="H22" s="349">
        <f>C22*5.4%+C22</f>
        <v>0</v>
      </c>
      <c r="I22" s="441">
        <f t="shared" si="2"/>
        <v>0</v>
      </c>
    </row>
    <row r="23" spans="1:9" s="18" customFormat="1" hidden="1" x14ac:dyDescent="0.25">
      <c r="A23" s="389"/>
      <c r="B23" s="91"/>
      <c r="C23" s="165">
        <f>B23*6.2%+B23</f>
        <v>0</v>
      </c>
      <c r="D23" s="214"/>
      <c r="E23" s="214"/>
      <c r="F23" s="214"/>
      <c r="G23" s="214"/>
      <c r="H23" s="349">
        <f>C23*5.4%+C23</f>
        <v>0</v>
      </c>
      <c r="I23" s="441">
        <f t="shared" si="2"/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44">
        <f>SUM(C21:C23)</f>
        <v>0</v>
      </c>
      <c r="D24" s="178"/>
      <c r="E24" s="178"/>
      <c r="F24" s="178"/>
      <c r="G24" s="178"/>
      <c r="H24" s="349">
        <f>C24*5.4%+C24</f>
        <v>0</v>
      </c>
      <c r="I24" s="441">
        <f t="shared" si="2"/>
        <v>0</v>
      </c>
    </row>
    <row r="25" spans="1:9" s="134" customFormat="1" x14ac:dyDescent="0.25">
      <c r="A25" s="343"/>
      <c r="B25" s="44"/>
      <c r="C25" s="44"/>
      <c r="D25" s="178"/>
      <c r="E25" s="178"/>
      <c r="F25" s="178"/>
      <c r="G25" s="178"/>
      <c r="H25" s="349"/>
      <c r="I25" s="441"/>
    </row>
    <row r="26" spans="1:9" ht="15.75" thickBot="1" x14ac:dyDescent="0.3">
      <c r="A26" s="390" t="s">
        <v>48</v>
      </c>
      <c r="B26" s="391">
        <f>B9+B16+B19+B24</f>
        <v>50000</v>
      </c>
      <c r="C26" s="391">
        <f>C9+C16+C19+C24</f>
        <v>53125</v>
      </c>
      <c r="D26" s="391">
        <f t="shared" ref="D26:E26" si="3">D9+D16+D19+D24</f>
        <v>0</v>
      </c>
      <c r="E26" s="391">
        <f t="shared" si="3"/>
        <v>53125</v>
      </c>
      <c r="F26" s="391">
        <f t="shared" ref="F26:G26" si="4">F9+F16+F19+F24</f>
        <v>-53125</v>
      </c>
      <c r="G26" s="391">
        <f t="shared" si="4"/>
        <v>0</v>
      </c>
      <c r="H26" s="391">
        <f>H9+H16+H19+H24</f>
        <v>56445.3125</v>
      </c>
      <c r="I26" s="401">
        <f>I9+I16+I19+I24</f>
        <v>59973.14453125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&amp;A&amp;RPage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I25"/>
  <sheetViews>
    <sheetView view="pageBreakPreview" zoomScaleNormal="100" zoomScaleSheetLayoutView="100" workbookViewId="0">
      <selection activeCell="F19" sqref="F19"/>
    </sheetView>
  </sheetViews>
  <sheetFormatPr defaultColWidth="9.28515625" defaultRowHeight="15" x14ac:dyDescent="0.25"/>
  <cols>
    <col min="1" max="1" width="28.7109375" style="19" customWidth="1"/>
    <col min="2" max="2" width="13.7109375" style="63" hidden="1" customWidth="1"/>
    <col min="3" max="7" width="15.42578125" style="63" customWidth="1"/>
    <col min="8" max="8" width="13.85546875" style="63" customWidth="1"/>
    <col min="9" max="9" width="13" style="19" customWidth="1"/>
    <col min="10" max="16384" width="9.28515625" style="19"/>
  </cols>
  <sheetData>
    <row r="1" spans="1:9" s="18" customFormat="1" ht="18.75" x14ac:dyDescent="0.3">
      <c r="A1" s="15" t="s">
        <v>626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35.2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9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9"/>
    </row>
    <row r="17" spans="1:9" hidden="1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50" t="s">
        <v>316</v>
      </c>
      <c r="B18" s="215">
        <v>50000</v>
      </c>
      <c r="C18" s="165">
        <f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>H18*6.25%+H18</f>
        <v>59973.14453125</v>
      </c>
    </row>
    <row r="19" spans="1:9" s="134" customFormat="1" x14ac:dyDescent="0.25">
      <c r="A19" s="342" t="s">
        <v>43</v>
      </c>
      <c r="B19" s="44">
        <f>SUM(B18)</f>
        <v>50000</v>
      </c>
      <c r="C19" s="44">
        <f>SUM(C18)</f>
        <v>53125</v>
      </c>
      <c r="D19" s="44">
        <f t="shared" ref="D19:E19" si="0">SUM(D18)</f>
        <v>0</v>
      </c>
      <c r="E19" s="44">
        <f t="shared" si="0"/>
        <v>53125</v>
      </c>
      <c r="F19" s="44">
        <f t="shared" ref="F19:G19" si="1">SUM(F18)</f>
        <v>-53125</v>
      </c>
      <c r="G19" s="44">
        <f t="shared" si="1"/>
        <v>0</v>
      </c>
      <c r="H19" s="44">
        <f>SUM(H18)</f>
        <v>56445.3125</v>
      </c>
      <c r="I19" s="400">
        <f>SUM(I18)</f>
        <v>59973.14453125</v>
      </c>
    </row>
    <row r="20" spans="1:9" s="18" customFormat="1" x14ac:dyDescent="0.25">
      <c r="A20" s="398"/>
      <c r="B20" s="51"/>
      <c r="C20" s="51"/>
      <c r="D20" s="177"/>
      <c r="E20" s="177"/>
      <c r="F20" s="177"/>
      <c r="G20" s="177"/>
      <c r="H20" s="177"/>
      <c r="I20" s="440">
        <f>H20*5.4%+H20</f>
        <v>0</v>
      </c>
    </row>
    <row r="21" spans="1:9" s="18" customFormat="1" hidden="1" x14ac:dyDescent="0.25">
      <c r="A21" s="341">
        <v>145</v>
      </c>
      <c r="B21" s="215"/>
      <c r="C21" s="165">
        <f>B21*6.2%+B21</f>
        <v>0</v>
      </c>
      <c r="D21" s="214"/>
      <c r="E21" s="214"/>
      <c r="F21" s="214"/>
      <c r="G21" s="214"/>
      <c r="H21" s="214">
        <f>C21*5.9%+C21</f>
        <v>0</v>
      </c>
      <c r="I21" s="440">
        <f>H21*5.4%+H21</f>
        <v>0</v>
      </c>
    </row>
    <row r="22" spans="1:9" s="18" customFormat="1" hidden="1" x14ac:dyDescent="0.25">
      <c r="A22" s="341">
        <v>145</v>
      </c>
      <c r="B22" s="215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0">
        <f>H22*5.4%+H22</f>
        <v>0</v>
      </c>
    </row>
    <row r="23" spans="1:9" s="18" customFormat="1" hidden="1" x14ac:dyDescent="0.25">
      <c r="A23" s="389"/>
      <c r="B23" s="91"/>
      <c r="C23" s="165">
        <f>B23*6.2%+B23</f>
        <v>0</v>
      </c>
      <c r="D23" s="214"/>
      <c r="E23" s="214"/>
      <c r="F23" s="214"/>
      <c r="G23" s="214"/>
      <c r="H23" s="214">
        <f>C23*5.9%+C23</f>
        <v>0</v>
      </c>
      <c r="I23" s="440">
        <f>H23*5.4%+H23</f>
        <v>0</v>
      </c>
    </row>
    <row r="24" spans="1:9" s="134" customFormat="1" hidden="1" x14ac:dyDescent="0.25">
      <c r="A24" s="343" t="s">
        <v>42</v>
      </c>
      <c r="B24" s="44">
        <f>SUM(B21:B23)</f>
        <v>0</v>
      </c>
      <c r="C24" s="44">
        <f>SUM(C21:C23)</f>
        <v>0</v>
      </c>
      <c r="D24" s="178"/>
      <c r="E24" s="178"/>
      <c r="F24" s="178"/>
      <c r="G24" s="178"/>
      <c r="H24" s="178">
        <f>SUM(H21:H23)</f>
        <v>0</v>
      </c>
      <c r="I24" s="440">
        <f>H24*5.4%+H24</f>
        <v>0</v>
      </c>
    </row>
    <row r="25" spans="1:9" ht="15.75" thickBot="1" x14ac:dyDescent="0.3">
      <c r="A25" s="390" t="s">
        <v>48</v>
      </c>
      <c r="B25" s="391">
        <f>B9+B16+B19+B24</f>
        <v>50000</v>
      </c>
      <c r="C25" s="391">
        <f>C9+C16+C19+C24</f>
        <v>53125</v>
      </c>
      <c r="D25" s="391">
        <f t="shared" ref="D25:E25" si="2">D9+D16+D19+D24</f>
        <v>0</v>
      </c>
      <c r="E25" s="391">
        <f t="shared" si="2"/>
        <v>53125</v>
      </c>
      <c r="F25" s="391">
        <f t="shared" ref="F25:G25" si="3">F9+F16+F19+F24</f>
        <v>-53125</v>
      </c>
      <c r="G25" s="391">
        <f t="shared" si="3"/>
        <v>0</v>
      </c>
      <c r="H25" s="391">
        <f>H9+H16+H19+H24</f>
        <v>56445.3125</v>
      </c>
      <c r="I25" s="401">
        <f>I9+I16+I19+I24</f>
        <v>59973.14453125</v>
      </c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&amp;A&amp;RPage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I28"/>
  <sheetViews>
    <sheetView view="pageBreakPreview" zoomScale="90" zoomScaleNormal="100" zoomScaleSheetLayoutView="90" workbookViewId="0">
      <selection activeCell="F20" sqref="F20"/>
    </sheetView>
  </sheetViews>
  <sheetFormatPr defaultColWidth="9.28515625" defaultRowHeight="15" x14ac:dyDescent="0.25"/>
  <cols>
    <col min="1" max="1" width="28" style="19" customWidth="1"/>
    <col min="2" max="2" width="17.7109375" style="63" hidden="1" customWidth="1"/>
    <col min="3" max="7" width="16.28515625" style="63" customWidth="1"/>
    <col min="8" max="8" width="15.28515625" style="63" customWidth="1"/>
    <col min="9" max="9" width="15.42578125" style="19" customWidth="1"/>
    <col min="10" max="16384" width="9.28515625" style="19"/>
  </cols>
  <sheetData>
    <row r="1" spans="1:9" s="18" customFormat="1" ht="18.75" x14ac:dyDescent="0.3">
      <c r="A1" s="15" t="s">
        <v>517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5.7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8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8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9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8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9"/>
    </row>
    <row r="17" spans="1:9" ht="12.75" customHeight="1" x14ac:dyDescent="0.25">
      <c r="A17" s="60"/>
      <c r="B17" s="44"/>
      <c r="C17" s="178"/>
      <c r="D17" s="178"/>
      <c r="E17" s="178"/>
      <c r="F17" s="178"/>
      <c r="G17" s="178"/>
      <c r="H17" s="44"/>
      <c r="I17" s="438"/>
    </row>
    <row r="18" spans="1:9" s="18" customFormat="1" ht="12" customHeight="1" x14ac:dyDescent="0.25">
      <c r="A18" s="50" t="s">
        <v>316</v>
      </c>
      <c r="B18" s="51">
        <v>100000</v>
      </c>
      <c r="C18" s="165">
        <f t="shared" ref="C18:I19" si="0">B18*6.25%+B18</f>
        <v>106250</v>
      </c>
      <c r="D18" s="165"/>
      <c r="E18" s="165">
        <f>C18-D18</f>
        <v>106250</v>
      </c>
      <c r="F18" s="165">
        <f>-E18</f>
        <v>-106250</v>
      </c>
      <c r="G18" s="165">
        <f>C18+F18</f>
        <v>0</v>
      </c>
      <c r="H18" s="165">
        <f>C18*6.25%+C18</f>
        <v>112890.625</v>
      </c>
      <c r="I18" s="440">
        <f t="shared" si="0"/>
        <v>119946.2890625</v>
      </c>
    </row>
    <row r="19" spans="1:9" s="18" customFormat="1" ht="12" customHeight="1" x14ac:dyDescent="0.25">
      <c r="A19" s="50" t="s">
        <v>20</v>
      </c>
      <c r="B19" s="51">
        <v>20000</v>
      </c>
      <c r="C19" s="165">
        <f t="shared" si="0"/>
        <v>21250</v>
      </c>
      <c r="D19" s="165"/>
      <c r="E19" s="165">
        <f>C19-D19</f>
        <v>21250</v>
      </c>
      <c r="F19" s="165">
        <f>-E19</f>
        <v>-21250</v>
      </c>
      <c r="G19" s="165">
        <f>C19+F19</f>
        <v>0</v>
      </c>
      <c r="H19" s="165">
        <f>C19*6.25%+C19</f>
        <v>22578.125</v>
      </c>
      <c r="I19" s="440">
        <f t="shared" si="0"/>
        <v>23989.2578125</v>
      </c>
    </row>
    <row r="20" spans="1:9" s="134" customFormat="1" ht="18" customHeight="1" x14ac:dyDescent="0.25">
      <c r="A20" s="342" t="s">
        <v>43</v>
      </c>
      <c r="B20" s="44">
        <f>SUM(B18:B19)</f>
        <v>120000</v>
      </c>
      <c r="C20" s="178">
        <f>SUM(C18:C19)</f>
        <v>127500</v>
      </c>
      <c r="D20" s="178">
        <f t="shared" ref="D20:E20" si="1">SUM(D18:D19)</f>
        <v>0</v>
      </c>
      <c r="E20" s="178">
        <f t="shared" si="1"/>
        <v>127500</v>
      </c>
      <c r="F20" s="178">
        <f t="shared" ref="F20:G20" si="2">SUM(F18:F19)</f>
        <v>-127500</v>
      </c>
      <c r="G20" s="178">
        <f t="shared" si="2"/>
        <v>0</v>
      </c>
      <c r="H20" s="178">
        <f>SUM(H18:H19)</f>
        <v>135468.75</v>
      </c>
      <c r="I20" s="400">
        <f>SUM(I18:I19)</f>
        <v>143935.546875</v>
      </c>
    </row>
    <row r="21" spans="1:9" s="18" customFormat="1" hidden="1" x14ac:dyDescent="0.25">
      <c r="A21" s="398"/>
      <c r="B21" s="51"/>
      <c r="C21" s="177"/>
      <c r="D21" s="177"/>
      <c r="E21" s="177"/>
      <c r="F21" s="177"/>
      <c r="G21" s="177"/>
      <c r="H21" s="51"/>
      <c r="I21" s="441">
        <f t="shared" ref="I21:I26" si="3">H21*5.4%+H21</f>
        <v>0</v>
      </c>
    </row>
    <row r="22" spans="1:9" s="18" customFormat="1" hidden="1" x14ac:dyDescent="0.25">
      <c r="A22" s="341">
        <v>147</v>
      </c>
      <c r="B22" s="51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41">
        <f t="shared" si="3"/>
        <v>0</v>
      </c>
    </row>
    <row r="23" spans="1:9" s="18" customFormat="1" hidden="1" x14ac:dyDescent="0.25">
      <c r="A23" s="341">
        <v>147</v>
      </c>
      <c r="B23" s="51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41">
        <f t="shared" si="3"/>
        <v>0</v>
      </c>
    </row>
    <row r="24" spans="1:9" s="18" customFormat="1" hidden="1" x14ac:dyDescent="0.25">
      <c r="A24" s="341">
        <v>147</v>
      </c>
      <c r="B24" s="51"/>
      <c r="C24" s="214">
        <f>B24*6.2%+B24</f>
        <v>0</v>
      </c>
      <c r="D24" s="214"/>
      <c r="E24" s="214"/>
      <c r="F24" s="214"/>
      <c r="G24" s="214"/>
      <c r="H24" s="165">
        <f>C24*5.9%+C24</f>
        <v>0</v>
      </c>
      <c r="I24" s="441">
        <f t="shared" si="3"/>
        <v>0</v>
      </c>
    </row>
    <row r="25" spans="1:9" s="92" customFormat="1" hidden="1" x14ac:dyDescent="0.25">
      <c r="A25" s="341"/>
      <c r="B25" s="91"/>
      <c r="C25" s="214"/>
      <c r="D25" s="214"/>
      <c r="E25" s="214"/>
      <c r="F25" s="214"/>
      <c r="G25" s="214"/>
      <c r="H25" s="165"/>
      <c r="I25" s="441">
        <f t="shared" si="3"/>
        <v>0</v>
      </c>
    </row>
    <row r="26" spans="1:9" s="134" customFormat="1" hidden="1" x14ac:dyDescent="0.25">
      <c r="A26" s="343" t="s">
        <v>42</v>
      </c>
      <c r="B26" s="44">
        <f>SUM(B22:B25)</f>
        <v>0</v>
      </c>
      <c r="C26" s="178">
        <f>SUM(C22:C25)</f>
        <v>0</v>
      </c>
      <c r="D26" s="178"/>
      <c r="E26" s="178"/>
      <c r="F26" s="178"/>
      <c r="G26" s="178"/>
      <c r="H26" s="44">
        <f>SUM(H22:H25)</f>
        <v>0</v>
      </c>
      <c r="I26" s="441">
        <f t="shared" si="3"/>
        <v>0</v>
      </c>
    </row>
    <row r="27" spans="1:9" s="134" customFormat="1" x14ac:dyDescent="0.25">
      <c r="A27" s="343"/>
      <c r="B27" s="44"/>
      <c r="C27" s="178"/>
      <c r="D27" s="178"/>
      <c r="E27" s="178"/>
      <c r="F27" s="178"/>
      <c r="G27" s="178"/>
      <c r="H27" s="44"/>
      <c r="I27" s="441"/>
    </row>
    <row r="28" spans="1:9" ht="15.75" thickBot="1" x14ac:dyDescent="0.3">
      <c r="A28" s="390" t="s">
        <v>48</v>
      </c>
      <c r="B28" s="391">
        <f>B9+B16+B20+B26</f>
        <v>120000</v>
      </c>
      <c r="C28" s="403">
        <f>C9+C16+C20+C26</f>
        <v>127500</v>
      </c>
      <c r="D28" s="403">
        <f t="shared" ref="D28:E28" si="4">D9+D16+D20+D26</f>
        <v>0</v>
      </c>
      <c r="E28" s="403">
        <f t="shared" si="4"/>
        <v>127500</v>
      </c>
      <c r="F28" s="403">
        <f t="shared" ref="F28:G28" si="5">F9+F16+F20+F26</f>
        <v>-127500</v>
      </c>
      <c r="G28" s="403">
        <f t="shared" si="5"/>
        <v>0</v>
      </c>
      <c r="H28" s="403">
        <f>H9+H16+H20+H26</f>
        <v>135468.75</v>
      </c>
      <c r="I28" s="401">
        <f>I9+I16+I20+I26</f>
        <v>143935.546875</v>
      </c>
    </row>
  </sheetData>
  <pageMargins left="0.7" right="0.7" top="0.75" bottom="0.75" header="0.3" footer="0.3"/>
  <pageSetup scale="64" orientation="portrait" r:id="rId1"/>
  <headerFooter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Layout" topLeftCell="B10" zoomScaleNormal="100" workbookViewId="0">
      <selection activeCell="E19" sqref="E19"/>
    </sheetView>
  </sheetViews>
  <sheetFormatPr defaultColWidth="8.85546875" defaultRowHeight="15" x14ac:dyDescent="0.25"/>
  <cols>
    <col min="1" max="1" width="32" customWidth="1"/>
    <col min="2" max="2" width="25.42578125" style="793" customWidth="1"/>
    <col min="3" max="3" width="24.85546875" style="793" customWidth="1"/>
    <col min="4" max="4" width="27.42578125" style="793" customWidth="1"/>
    <col min="6" max="6" width="14" bestFit="1" customWidth="1"/>
    <col min="7" max="7" width="23.140625" style="704" customWidth="1"/>
    <col min="9" max="9" width="15" style="793" bestFit="1" customWidth="1"/>
    <col min="11" max="11" width="11" style="704" bestFit="1" customWidth="1"/>
  </cols>
  <sheetData>
    <row r="1" spans="1:11" ht="36" x14ac:dyDescent="0.4">
      <c r="A1" s="801" t="s">
        <v>874</v>
      </c>
      <c r="B1" s="802" t="s">
        <v>885</v>
      </c>
      <c r="C1" s="802" t="s">
        <v>884</v>
      </c>
      <c r="D1" s="802" t="s">
        <v>637</v>
      </c>
    </row>
    <row r="2" spans="1:11" x14ac:dyDescent="0.25">
      <c r="A2" s="794"/>
      <c r="B2" s="800"/>
      <c r="C2" s="799"/>
      <c r="D2" s="799"/>
      <c r="E2" s="790"/>
      <c r="F2" s="792"/>
      <c r="G2" s="792"/>
      <c r="H2" s="791"/>
      <c r="I2" s="798"/>
      <c r="J2" s="791"/>
      <c r="K2" s="792"/>
    </row>
    <row r="3" spans="1:11" x14ac:dyDescent="0.25">
      <c r="A3" s="795" t="s">
        <v>875</v>
      </c>
      <c r="B3" s="701">
        <v>397854024</v>
      </c>
      <c r="C3" s="701">
        <f>SUMMARY!B84+SUMMARY!C84-SUMMARY!B4</f>
        <v>409270533.43800002</v>
      </c>
      <c r="D3" s="881">
        <f>C3-B3</f>
        <v>11416509.438000023</v>
      </c>
      <c r="F3" s="817"/>
    </row>
    <row r="4" spans="1:11" x14ac:dyDescent="0.25">
      <c r="A4" s="795" t="s">
        <v>876</v>
      </c>
      <c r="B4" s="701">
        <v>14233356</v>
      </c>
      <c r="C4" s="701">
        <f>SUMMARY!B4</f>
        <v>14233357.3125</v>
      </c>
      <c r="D4" s="880">
        <f t="shared" ref="D4:D13" si="0">C4-B4</f>
        <v>1.3125</v>
      </c>
    </row>
    <row r="5" spans="1:11" x14ac:dyDescent="0.25">
      <c r="A5" s="795" t="s">
        <v>877</v>
      </c>
      <c r="B5" s="701">
        <v>65173668</v>
      </c>
      <c r="C5" s="701">
        <f>SUMMARY!E84</f>
        <v>65173653.570687503</v>
      </c>
      <c r="D5" s="881">
        <f t="shared" si="0"/>
        <v>-14.429312497377396</v>
      </c>
      <c r="F5" s="817"/>
    </row>
    <row r="6" spans="1:11" x14ac:dyDescent="0.25">
      <c r="A6" s="795" t="s">
        <v>878</v>
      </c>
      <c r="B6" s="701">
        <v>186056124</v>
      </c>
      <c r="C6" s="701">
        <f>SUMMARY!D84</f>
        <v>186056117.74500003</v>
      </c>
      <c r="D6" s="881">
        <f t="shared" si="0"/>
        <v>-6.254999965429306</v>
      </c>
      <c r="F6" s="817"/>
    </row>
    <row r="7" spans="1:11" x14ac:dyDescent="0.25">
      <c r="A7" s="795" t="s">
        <v>879</v>
      </c>
      <c r="B7" s="701">
        <v>490500</v>
      </c>
      <c r="C7" s="701">
        <f>B7</f>
        <v>490500</v>
      </c>
      <c r="D7" s="880">
        <f t="shared" si="0"/>
        <v>0</v>
      </c>
    </row>
    <row r="8" spans="1:11" x14ac:dyDescent="0.25">
      <c r="A8" s="795" t="s">
        <v>880</v>
      </c>
      <c r="B8" s="701">
        <v>239641836</v>
      </c>
      <c r="C8" s="701">
        <f>SUMMARY!H84</f>
        <v>254641836.25</v>
      </c>
      <c r="D8" s="881">
        <f t="shared" si="0"/>
        <v>15000000.25</v>
      </c>
    </row>
    <row r="9" spans="1:11" s="72" customFormat="1" x14ac:dyDescent="0.25">
      <c r="A9" s="873" t="s">
        <v>881</v>
      </c>
      <c r="B9" s="165">
        <v>161082552</v>
      </c>
      <c r="C9" s="165">
        <f>SUMMARY!F84</f>
        <v>265846633.52031249</v>
      </c>
      <c r="D9" s="912">
        <f t="shared" si="0"/>
        <v>104764081.52031249</v>
      </c>
      <c r="G9" s="704"/>
      <c r="I9" s="82"/>
      <c r="K9" s="874"/>
    </row>
    <row r="10" spans="1:11" x14ac:dyDescent="0.25">
      <c r="A10" s="795" t="s">
        <v>793</v>
      </c>
      <c r="B10" s="701">
        <v>102709788</v>
      </c>
      <c r="C10" s="701">
        <f>SUMMARY!G84</f>
        <v>106635862</v>
      </c>
      <c r="D10" s="881">
        <f t="shared" si="0"/>
        <v>3926074</v>
      </c>
    </row>
    <row r="11" spans="1:11" x14ac:dyDescent="0.25">
      <c r="A11" s="795" t="s">
        <v>882</v>
      </c>
      <c r="B11" s="701">
        <f>205565432+104909</f>
        <v>205670341</v>
      </c>
      <c r="C11" s="701">
        <f>SUMMARY!I84-C7</f>
        <v>142501862.40981251</v>
      </c>
      <c r="D11" s="815">
        <f t="shared" si="0"/>
        <v>-63168478.59018749</v>
      </c>
    </row>
    <row r="12" spans="1:11" s="744" customFormat="1" x14ac:dyDescent="0.25">
      <c r="A12" s="797" t="s">
        <v>88</v>
      </c>
      <c r="B12" s="702">
        <v>36268000</v>
      </c>
      <c r="C12" s="701">
        <f>SUMMARY!J84</f>
        <v>40888000</v>
      </c>
      <c r="D12" s="815">
        <f t="shared" si="0"/>
        <v>4620000</v>
      </c>
      <c r="G12" s="704"/>
      <c r="I12" s="793"/>
      <c r="K12" s="704"/>
    </row>
    <row r="13" spans="1:11" s="744" customFormat="1" x14ac:dyDescent="0.25">
      <c r="A13" s="797" t="s">
        <v>45</v>
      </c>
      <c r="B13" s="702">
        <v>572342350.08999991</v>
      </c>
      <c r="C13" s="701">
        <f>SUMMARY!K84</f>
        <v>806706533.74100006</v>
      </c>
      <c r="D13" s="815">
        <f t="shared" si="0"/>
        <v>234364183.65100014</v>
      </c>
      <c r="G13" s="704"/>
      <c r="I13" s="793"/>
      <c r="K13" s="704"/>
    </row>
    <row r="14" spans="1:11" ht="15.75" thickBot="1" x14ac:dyDescent="0.3">
      <c r="A14" s="796" t="s">
        <v>883</v>
      </c>
      <c r="B14" s="804">
        <f>SUM(B3:B13)</f>
        <v>1981522539.0899999</v>
      </c>
      <c r="C14" s="804">
        <f>SUM(C3:C13)</f>
        <v>2292444889.9873123</v>
      </c>
      <c r="D14" s="882">
        <f>SUM(D3:D13)</f>
        <v>310922350.8973127</v>
      </c>
    </row>
    <row r="15" spans="1:11" ht="15.75" thickTop="1" x14ac:dyDescent="0.25"/>
    <row r="16" spans="1:11" x14ac:dyDescent="0.25">
      <c r="C16" s="98"/>
    </row>
    <row r="17" spans="2:2" x14ac:dyDescent="0.25">
      <c r="B17" s="98"/>
    </row>
    <row r="18" spans="2:2" x14ac:dyDescent="0.25">
      <c r="B18" s="98"/>
    </row>
    <row r="19" spans="2:2" x14ac:dyDescent="0.25">
      <c r="B19" s="98"/>
    </row>
  </sheetData>
  <pageMargins left="0.7" right="0.7" top="0.75" bottom="0.75" header="0.3" footer="0.3"/>
  <pageSetup paperSize="9" scale="65" fitToHeight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I25"/>
  <sheetViews>
    <sheetView view="pageBreakPreview" zoomScale="90" zoomScaleNormal="100" zoomScaleSheetLayoutView="90" workbookViewId="0">
      <selection activeCell="F19" sqref="F19"/>
    </sheetView>
  </sheetViews>
  <sheetFormatPr defaultColWidth="9.28515625" defaultRowHeight="15" x14ac:dyDescent="0.25"/>
  <cols>
    <col min="1" max="1" width="30.7109375" style="19" customWidth="1"/>
    <col min="2" max="2" width="13.42578125" style="63" hidden="1" customWidth="1"/>
    <col min="3" max="7" width="15.42578125" style="63" customWidth="1"/>
    <col min="8" max="8" width="12.85546875" style="63" customWidth="1"/>
    <col min="9" max="9" width="12.140625" style="19" customWidth="1"/>
    <col min="10" max="16384" width="9.28515625" style="19"/>
  </cols>
  <sheetData>
    <row r="1" spans="1:9" s="18" customFormat="1" ht="18.75" x14ac:dyDescent="0.3">
      <c r="A1" s="15" t="s">
        <v>518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9.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406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s="18" customFormat="1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8"/>
    </row>
    <row r="10" spans="1:9" s="18" customFormat="1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8"/>
    </row>
    <row r="17" spans="1:9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s="18" customFormat="1" x14ac:dyDescent="0.25">
      <c r="A18" s="50" t="s">
        <v>316</v>
      </c>
      <c r="B18" s="51">
        <v>50000</v>
      </c>
      <c r="C18" s="165">
        <f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>H18*6.25%+H18</f>
        <v>59973.14453125</v>
      </c>
    </row>
    <row r="19" spans="1:9" s="134" customFormat="1" x14ac:dyDescent="0.25">
      <c r="A19" s="342" t="s">
        <v>43</v>
      </c>
      <c r="B19" s="44">
        <f>SUM(B18)</f>
        <v>50000</v>
      </c>
      <c r="C19" s="44">
        <f>SUM(C18)</f>
        <v>53125</v>
      </c>
      <c r="D19" s="44">
        <f t="shared" ref="D19:E19" si="0">SUM(D18)</f>
        <v>0</v>
      </c>
      <c r="E19" s="44">
        <f t="shared" si="0"/>
        <v>53125</v>
      </c>
      <c r="F19" s="44">
        <f t="shared" ref="F19:G19" si="1">SUM(F18)</f>
        <v>-53125</v>
      </c>
      <c r="G19" s="44">
        <f t="shared" si="1"/>
        <v>0</v>
      </c>
      <c r="H19" s="44">
        <f>SUM(H18)</f>
        <v>56445.3125</v>
      </c>
      <c r="I19" s="400">
        <f>SUM(I18)</f>
        <v>59973.14453125</v>
      </c>
    </row>
    <row r="20" spans="1:9" s="18" customFormat="1" hidden="1" x14ac:dyDescent="0.25">
      <c r="A20" s="398"/>
      <c r="B20" s="51"/>
      <c r="C20" s="51"/>
      <c r="D20" s="177"/>
      <c r="E20" s="177"/>
      <c r="F20" s="177"/>
      <c r="G20" s="177"/>
      <c r="H20" s="177"/>
      <c r="I20" s="441">
        <f>H20*5.4%+H20</f>
        <v>0</v>
      </c>
    </row>
    <row r="21" spans="1:9" s="18" customFormat="1" hidden="1" x14ac:dyDescent="0.25">
      <c r="A21" s="341">
        <v>148</v>
      </c>
      <c r="B21" s="51"/>
      <c r="C21" s="165">
        <f>B21*6.2%+B21</f>
        <v>0</v>
      </c>
      <c r="D21" s="214"/>
      <c r="E21" s="214"/>
      <c r="F21" s="214"/>
      <c r="G21" s="214"/>
      <c r="H21" s="214">
        <f>C21*5.9%+C21</f>
        <v>0</v>
      </c>
      <c r="I21" s="441">
        <f>H21*5.4%+H21</f>
        <v>0</v>
      </c>
    </row>
    <row r="22" spans="1:9" s="18" customFormat="1" hidden="1" x14ac:dyDescent="0.25">
      <c r="A22" s="341">
        <v>148</v>
      </c>
      <c r="B22" s="51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1">
        <f>H22*5.4%+H22</f>
        <v>0</v>
      </c>
    </row>
    <row r="23" spans="1:9" s="134" customFormat="1" hidden="1" x14ac:dyDescent="0.25">
      <c r="A23" s="343" t="s">
        <v>42</v>
      </c>
      <c r="B23" s="44">
        <f>SUM(B21:B22)</f>
        <v>0</v>
      </c>
      <c r="C23" s="44">
        <f>SUM(C21:C22)</f>
        <v>0</v>
      </c>
      <c r="D23" s="178"/>
      <c r="E23" s="178"/>
      <c r="F23" s="178"/>
      <c r="G23" s="178"/>
      <c r="H23" s="178">
        <f>SUM(H21:H22)</f>
        <v>0</v>
      </c>
      <c r="I23" s="441">
        <f>H23*5.4%+H23</f>
        <v>0</v>
      </c>
    </row>
    <row r="24" spans="1:9" s="134" customFormat="1" x14ac:dyDescent="0.25">
      <c r="A24" s="343"/>
      <c r="B24" s="44"/>
      <c r="C24" s="44"/>
      <c r="D24" s="178"/>
      <c r="E24" s="178"/>
      <c r="F24" s="178"/>
      <c r="G24" s="178"/>
      <c r="H24" s="178"/>
      <c r="I24" s="441"/>
    </row>
    <row r="25" spans="1:9" ht="14.25" customHeight="1" thickBot="1" x14ac:dyDescent="0.3">
      <c r="A25" s="390" t="s">
        <v>48</v>
      </c>
      <c r="B25" s="391">
        <f>B9+B16+B19+B23</f>
        <v>50000</v>
      </c>
      <c r="C25" s="391">
        <f>C9+C16+C19+C23</f>
        <v>53125</v>
      </c>
      <c r="D25" s="391">
        <f t="shared" ref="D25:E25" si="2">D9+D16+D19+D23</f>
        <v>0</v>
      </c>
      <c r="E25" s="391">
        <f t="shared" si="2"/>
        <v>53125</v>
      </c>
      <c r="F25" s="391">
        <f t="shared" ref="F25:G25" si="3">F9+F16+F19+F23</f>
        <v>-53125</v>
      </c>
      <c r="G25" s="391">
        <f t="shared" si="3"/>
        <v>0</v>
      </c>
      <c r="H25" s="391">
        <f>H9+H16+H19+H23</f>
        <v>56445.3125</v>
      </c>
      <c r="I25" s="401">
        <f>I9+I16+I19+I23</f>
        <v>59973.14453125</v>
      </c>
    </row>
  </sheetData>
  <pageMargins left="0.7" right="0.7" top="0.75" bottom="0.75" header="0.3" footer="0.3"/>
  <pageSetup scale="68" orientation="portrait" r:id="rId1"/>
  <headerFooter>
    <oddFooter>&amp;A&amp;RPage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2"/>
  <sheetViews>
    <sheetView workbookViewId="0">
      <selection activeCell="E18" sqref="E18"/>
    </sheetView>
  </sheetViews>
  <sheetFormatPr defaultColWidth="8.85546875" defaultRowHeight="15" x14ac:dyDescent="0.25"/>
  <cols>
    <col min="1" max="1" width="4.28515625" style="19" customWidth="1"/>
    <col min="2" max="2" width="4" style="19" customWidth="1"/>
    <col min="3" max="3" width="5.28515625" style="97" customWidth="1"/>
    <col min="4" max="4" width="43" style="19" customWidth="1"/>
    <col min="5" max="6" width="17.7109375" style="63" customWidth="1"/>
    <col min="7" max="7" width="15.28515625" style="63" customWidth="1"/>
    <col min="8" max="8" width="12.42578125" bestFit="1" customWidth="1"/>
  </cols>
  <sheetData>
    <row r="1" spans="1:10" s="2" customFormat="1" ht="19.5" thickBot="1" x14ac:dyDescent="0.35">
      <c r="A1" s="15" t="s">
        <v>317</v>
      </c>
      <c r="B1" s="15"/>
      <c r="C1" s="142"/>
      <c r="D1" s="15"/>
      <c r="E1" s="105"/>
      <c r="F1" s="105"/>
      <c r="G1" s="105"/>
    </row>
    <row r="2" spans="1:10" s="2" customFormat="1" ht="35.25" customHeight="1" x14ac:dyDescent="0.25">
      <c r="A2" s="905" t="s">
        <v>47</v>
      </c>
      <c r="B2" s="905"/>
      <c r="C2" s="905"/>
      <c r="D2" s="62" t="s">
        <v>39</v>
      </c>
      <c r="E2" s="157" t="s">
        <v>250</v>
      </c>
      <c r="F2" s="153" t="s">
        <v>283</v>
      </c>
      <c r="G2" s="153" t="s">
        <v>308</v>
      </c>
    </row>
    <row r="3" spans="1:10" s="32" customFormat="1" x14ac:dyDescent="0.25">
      <c r="A3" s="48">
        <v>149</v>
      </c>
      <c r="B3" s="48">
        <v>30</v>
      </c>
      <c r="C3" s="95">
        <v>2</v>
      </c>
      <c r="D3" s="50" t="s">
        <v>2</v>
      </c>
      <c r="E3" s="51"/>
      <c r="F3" s="158">
        <f>E3*6.5%+E3</f>
        <v>0</v>
      </c>
      <c r="G3" s="51">
        <f>F3*5%+F3</f>
        <v>0</v>
      </c>
    </row>
    <row r="4" spans="1:10" s="32" customFormat="1" x14ac:dyDescent="0.25">
      <c r="A4" s="48">
        <v>149</v>
      </c>
      <c r="B4" s="48">
        <v>30</v>
      </c>
      <c r="C4" s="95">
        <v>6</v>
      </c>
      <c r="D4" s="50" t="s">
        <v>3</v>
      </c>
      <c r="E4" s="51"/>
      <c r="F4" s="158">
        <f>E4*6.5%+E4</f>
        <v>0</v>
      </c>
      <c r="G4" s="51">
        <f>F4*5%+F4</f>
        <v>0</v>
      </c>
    </row>
    <row r="5" spans="1:10" s="32" customFormat="1" x14ac:dyDescent="0.25">
      <c r="A5" s="48">
        <v>149</v>
      </c>
      <c r="B5" s="48">
        <v>30</v>
      </c>
      <c r="C5" s="95">
        <v>15</v>
      </c>
      <c r="D5" s="50" t="s">
        <v>4</v>
      </c>
      <c r="E5" s="51"/>
      <c r="F5" s="158">
        <f>E5*6.5%+E5</f>
        <v>0</v>
      </c>
      <c r="G5" s="51">
        <f>F5*5%+F5</f>
        <v>0</v>
      </c>
    </row>
    <row r="6" spans="1:10" s="32" customFormat="1" x14ac:dyDescent="0.25">
      <c r="A6" s="48">
        <v>149</v>
      </c>
      <c r="B6" s="48">
        <v>30</v>
      </c>
      <c r="C6" s="95">
        <v>30</v>
      </c>
      <c r="D6" s="50" t="s">
        <v>5</v>
      </c>
      <c r="E6" s="51"/>
      <c r="F6" s="158">
        <f>E6*6.5%+E6</f>
        <v>0</v>
      </c>
      <c r="G6" s="51">
        <f>F6*5%+F6</f>
        <v>0</v>
      </c>
    </row>
    <row r="7" spans="1:10" s="32" customFormat="1" x14ac:dyDescent="0.25">
      <c r="A7" s="48"/>
      <c r="B7" s="48"/>
      <c r="C7" s="95"/>
      <c r="D7" s="50"/>
      <c r="E7" s="51"/>
      <c r="F7" s="51"/>
      <c r="G7" s="51"/>
    </row>
    <row r="8" spans="1:10" s="137" customFormat="1" x14ac:dyDescent="0.25">
      <c r="A8" s="60" t="s">
        <v>40</v>
      </c>
      <c r="B8" s="60"/>
      <c r="C8" s="139"/>
      <c r="D8" s="60"/>
      <c r="E8" s="44">
        <f>SUM(E3:E6)</f>
        <v>0</v>
      </c>
      <c r="F8" s="44">
        <f>SUM(F3:F6)</f>
        <v>0</v>
      </c>
      <c r="G8" s="44">
        <f>SUM(G3:G6)</f>
        <v>0</v>
      </c>
    </row>
    <row r="9" spans="1:10" s="32" customFormat="1" x14ac:dyDescent="0.25">
      <c r="A9" s="50"/>
      <c r="B9" s="50"/>
      <c r="C9" s="96"/>
      <c r="D9" s="50"/>
      <c r="E9" s="51"/>
      <c r="F9" s="51"/>
      <c r="G9" s="51"/>
    </row>
    <row r="10" spans="1:10" s="32" customFormat="1" x14ac:dyDescent="0.25">
      <c r="A10" s="48">
        <v>149</v>
      </c>
      <c r="B10" s="48">
        <v>31</v>
      </c>
      <c r="C10" s="95">
        <v>18</v>
      </c>
      <c r="D10" s="50" t="s">
        <v>6</v>
      </c>
      <c r="E10" s="51"/>
      <c r="F10" s="158">
        <f>E10*6.5%+E10</f>
        <v>0</v>
      </c>
      <c r="G10" s="51">
        <f>F10*5%+F10</f>
        <v>0</v>
      </c>
    </row>
    <row r="11" spans="1:10" s="32" customFormat="1" x14ac:dyDescent="0.25">
      <c r="A11" s="48">
        <v>149</v>
      </c>
      <c r="B11" s="48">
        <v>31</v>
      </c>
      <c r="C11" s="95">
        <v>22</v>
      </c>
      <c r="D11" s="50" t="s">
        <v>7</v>
      </c>
      <c r="E11" s="51"/>
      <c r="F11" s="158">
        <f>E11*6.5%+E11</f>
        <v>0</v>
      </c>
      <c r="G11" s="51">
        <f>F11*5%+F11</f>
        <v>0</v>
      </c>
    </row>
    <row r="12" spans="1:10" s="32" customFormat="1" x14ac:dyDescent="0.25">
      <c r="A12" s="48">
        <v>149</v>
      </c>
      <c r="B12" s="48">
        <v>31</v>
      </c>
      <c r="C12" s="95">
        <v>25</v>
      </c>
      <c r="D12" s="50" t="s">
        <v>53</v>
      </c>
      <c r="E12" s="51"/>
      <c r="F12" s="158">
        <f>E12*6.5%+E12</f>
        <v>0</v>
      </c>
      <c r="G12" s="51">
        <f>F12*5%+F12</f>
        <v>0</v>
      </c>
    </row>
    <row r="13" spans="1:10" s="32" customFormat="1" x14ac:dyDescent="0.25">
      <c r="A13" s="48">
        <v>149</v>
      </c>
      <c r="B13" s="48">
        <v>31</v>
      </c>
      <c r="C13" s="95">
        <v>70</v>
      </c>
      <c r="D13" s="50" t="s">
        <v>9</v>
      </c>
      <c r="E13" s="51"/>
      <c r="F13" s="158">
        <f>E13*6.5%+E13</f>
        <v>0</v>
      </c>
      <c r="G13" s="51">
        <f>F13*5%+F13</f>
        <v>0</v>
      </c>
    </row>
    <row r="14" spans="1:10" s="2" customFormat="1" x14ac:dyDescent="0.25">
      <c r="A14" s="48"/>
      <c r="B14" s="48"/>
      <c r="C14" s="95"/>
      <c r="D14" s="50"/>
      <c r="E14" s="51"/>
      <c r="F14" s="51"/>
      <c r="G14" s="51"/>
    </row>
    <row r="15" spans="1:10" s="137" customFormat="1" x14ac:dyDescent="0.25">
      <c r="A15" s="60" t="s">
        <v>41</v>
      </c>
      <c r="B15" s="60"/>
      <c r="C15" s="139"/>
      <c r="D15" s="60"/>
      <c r="E15" s="44">
        <f>SUM(E10:E13)</f>
        <v>0</v>
      </c>
      <c r="F15" s="44">
        <f>SUM(F10:F13)</f>
        <v>0</v>
      </c>
      <c r="G15" s="44">
        <f>SUM(G10:G13)</f>
        <v>0</v>
      </c>
      <c r="H15" s="138"/>
    </row>
    <row r="16" spans="1:10" s="72" customFormat="1" x14ac:dyDescent="0.25">
      <c r="A16" s="60"/>
      <c r="B16" s="60"/>
      <c r="C16" s="139"/>
      <c r="D16" s="60"/>
      <c r="E16" s="44"/>
      <c r="F16" s="44"/>
      <c r="G16" s="44"/>
      <c r="H16" s="82"/>
      <c r="I16" s="83"/>
      <c r="J16" s="82"/>
    </row>
    <row r="17" spans="1:8" s="32" customFormat="1" x14ac:dyDescent="0.25">
      <c r="A17" s="48">
        <v>149</v>
      </c>
      <c r="B17" s="48">
        <v>38</v>
      </c>
      <c r="C17" s="95">
        <v>613</v>
      </c>
      <c r="D17" s="50" t="s">
        <v>316</v>
      </c>
      <c r="E17" s="51">
        <v>0</v>
      </c>
      <c r="F17" s="158">
        <f>E17*6.5%+E17</f>
        <v>0</v>
      </c>
      <c r="G17" s="51">
        <f>F17*5%+F17</f>
        <v>0</v>
      </c>
    </row>
    <row r="18" spans="1:8" s="18" customFormat="1" x14ac:dyDescent="0.25">
      <c r="A18" s="48"/>
      <c r="B18" s="48"/>
      <c r="C18" s="95"/>
      <c r="D18" s="50"/>
      <c r="E18" s="51"/>
      <c r="F18" s="51"/>
      <c r="G18" s="51"/>
    </row>
    <row r="19" spans="1:8" s="137" customFormat="1" x14ac:dyDescent="0.25">
      <c r="A19" s="60" t="s">
        <v>43</v>
      </c>
      <c r="B19" s="60"/>
      <c r="C19" s="139"/>
      <c r="D19" s="60"/>
      <c r="E19" s="44">
        <f>SUM(E17)</f>
        <v>0</v>
      </c>
      <c r="F19" s="44">
        <f>SUM(F17)</f>
        <v>0</v>
      </c>
      <c r="G19" s="44">
        <f>SUM(G17)</f>
        <v>0</v>
      </c>
    </row>
    <row r="20" spans="1:8" s="18" customFormat="1" x14ac:dyDescent="0.25">
      <c r="A20" s="50"/>
      <c r="B20" s="50"/>
      <c r="C20" s="96"/>
      <c r="D20" s="50"/>
      <c r="E20" s="51"/>
      <c r="F20" s="51"/>
      <c r="G20" s="51"/>
    </row>
    <row r="21" spans="1:8" s="32" customFormat="1" x14ac:dyDescent="0.25">
      <c r="A21" s="48">
        <v>149</v>
      </c>
      <c r="B21" s="48">
        <v>44</v>
      </c>
      <c r="C21" s="95">
        <v>232</v>
      </c>
      <c r="D21" s="1" t="s">
        <v>312</v>
      </c>
      <c r="E21" s="51">
        <v>0</v>
      </c>
      <c r="F21" s="51">
        <f>E21*5.9%+E21</f>
        <v>0</v>
      </c>
      <c r="G21" s="51">
        <f>F21*5.6%+F21</f>
        <v>0</v>
      </c>
    </row>
    <row r="22" spans="1:8" s="32" customFormat="1" x14ac:dyDescent="0.25">
      <c r="A22" s="48">
        <v>149</v>
      </c>
      <c r="B22" s="48">
        <v>44</v>
      </c>
      <c r="C22" s="95">
        <v>270</v>
      </c>
      <c r="D22" s="1" t="s">
        <v>24</v>
      </c>
      <c r="E22" s="51"/>
      <c r="F22" s="51">
        <f t="shared" ref="F22:F30" si="0">E22*5.9%+E22</f>
        <v>0</v>
      </c>
      <c r="G22" s="51">
        <f t="shared" ref="G22:G30" si="1">F22*5.6%+F22</f>
        <v>0</v>
      </c>
    </row>
    <row r="23" spans="1:8" s="32" customFormat="1" x14ac:dyDescent="0.25">
      <c r="A23" s="48">
        <v>149</v>
      </c>
      <c r="B23" s="48">
        <v>44</v>
      </c>
      <c r="C23" s="95">
        <v>290</v>
      </c>
      <c r="D23" s="1" t="s">
        <v>313</v>
      </c>
      <c r="E23" s="51"/>
      <c r="F23" s="51">
        <f t="shared" si="0"/>
        <v>0</v>
      </c>
      <c r="G23" s="51">
        <f t="shared" si="1"/>
        <v>0</v>
      </c>
    </row>
    <row r="24" spans="1:8" s="32" customFormat="1" x14ac:dyDescent="0.25">
      <c r="A24" s="48">
        <v>149</v>
      </c>
      <c r="B24" s="48">
        <v>44</v>
      </c>
      <c r="C24" s="95">
        <v>360</v>
      </c>
      <c r="D24" s="1" t="s">
        <v>59</v>
      </c>
      <c r="E24" s="51"/>
      <c r="F24" s="51">
        <f t="shared" si="0"/>
        <v>0</v>
      </c>
      <c r="G24" s="51">
        <f t="shared" si="1"/>
        <v>0</v>
      </c>
    </row>
    <row r="25" spans="1:8" s="32" customFormat="1" x14ac:dyDescent="0.25">
      <c r="A25" s="48">
        <v>149</v>
      </c>
      <c r="B25" s="48">
        <v>44</v>
      </c>
      <c r="C25" s="95">
        <v>380</v>
      </c>
      <c r="D25" s="1" t="s">
        <v>314</v>
      </c>
      <c r="E25" s="51"/>
      <c r="F25" s="51">
        <f t="shared" si="0"/>
        <v>0</v>
      </c>
      <c r="G25" s="51">
        <f t="shared" si="1"/>
        <v>0</v>
      </c>
    </row>
    <row r="26" spans="1:8" s="136" customFormat="1" x14ac:dyDescent="0.25">
      <c r="A26" s="48">
        <v>149</v>
      </c>
      <c r="B26" s="94">
        <v>44</v>
      </c>
      <c r="C26" s="90">
        <v>386</v>
      </c>
      <c r="D26" s="1" t="s">
        <v>10</v>
      </c>
      <c r="E26" s="91"/>
      <c r="F26" s="51">
        <f t="shared" si="0"/>
        <v>0</v>
      </c>
      <c r="G26" s="51">
        <f t="shared" si="1"/>
        <v>0</v>
      </c>
    </row>
    <row r="27" spans="1:8" s="136" customFormat="1" x14ac:dyDescent="0.25">
      <c r="A27" s="48">
        <v>149</v>
      </c>
      <c r="B27" s="48">
        <v>44</v>
      </c>
      <c r="C27" s="90">
        <v>409</v>
      </c>
      <c r="D27" s="1" t="s">
        <v>127</v>
      </c>
      <c r="E27" s="91"/>
      <c r="F27" s="51">
        <f t="shared" si="0"/>
        <v>0</v>
      </c>
      <c r="G27" s="51">
        <f t="shared" si="1"/>
        <v>0</v>
      </c>
    </row>
    <row r="28" spans="1:8" s="136" customFormat="1" x14ac:dyDescent="0.25">
      <c r="A28" s="48">
        <v>149</v>
      </c>
      <c r="B28" s="94">
        <v>44</v>
      </c>
      <c r="C28" s="90">
        <v>557</v>
      </c>
      <c r="D28" s="1" t="s">
        <v>34</v>
      </c>
      <c r="E28" s="91"/>
      <c r="F28" s="51">
        <f t="shared" si="0"/>
        <v>0</v>
      </c>
      <c r="G28" s="51">
        <f t="shared" si="1"/>
        <v>0</v>
      </c>
    </row>
    <row r="29" spans="1:8" s="136" customFormat="1" x14ac:dyDescent="0.25">
      <c r="A29" s="48">
        <v>149</v>
      </c>
      <c r="B29" s="94">
        <v>44</v>
      </c>
      <c r="C29" s="90">
        <v>560</v>
      </c>
      <c r="D29" s="1" t="s">
        <v>315</v>
      </c>
      <c r="E29" s="91"/>
      <c r="F29" s="51">
        <f t="shared" si="0"/>
        <v>0</v>
      </c>
      <c r="G29" s="51">
        <f t="shared" si="1"/>
        <v>0</v>
      </c>
    </row>
    <row r="30" spans="1:8" s="18" customFormat="1" x14ac:dyDescent="0.25">
      <c r="A30" s="94"/>
      <c r="B30" s="94"/>
      <c r="C30" s="88"/>
      <c r="D30" s="88" t="s">
        <v>346</v>
      </c>
      <c r="E30" s="51"/>
      <c r="F30" s="51">
        <f t="shared" si="0"/>
        <v>0</v>
      </c>
      <c r="G30" s="51">
        <f t="shared" si="1"/>
        <v>0</v>
      </c>
      <c r="H30" s="13"/>
    </row>
    <row r="31" spans="1:8" s="70" customFormat="1" x14ac:dyDescent="0.25">
      <c r="A31" s="139" t="s">
        <v>42</v>
      </c>
      <c r="B31" s="139"/>
      <c r="C31" s="139"/>
      <c r="D31" s="139"/>
      <c r="E31" s="44">
        <f>SUM(E21:E30)</f>
        <v>0</v>
      </c>
      <c r="F31" s="44">
        <f>SUM(F21:F30)</f>
        <v>0</v>
      </c>
      <c r="G31" s="44">
        <f>SUM(G21:G30)</f>
        <v>0</v>
      </c>
    </row>
    <row r="32" spans="1:8" x14ac:dyDescent="0.25">
      <c r="A32" s="139" t="s">
        <v>48</v>
      </c>
      <c r="B32" s="96"/>
      <c r="C32" s="96"/>
      <c r="D32" s="96"/>
      <c r="E32" s="89">
        <f>E8+E15+E19+E31</f>
        <v>0</v>
      </c>
      <c r="F32" s="89">
        <f>F8+F15+F19+F31</f>
        <v>0</v>
      </c>
      <c r="G32" s="89">
        <f>G8+G15+G19+G31</f>
        <v>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2"/>
  <sheetViews>
    <sheetView workbookViewId="0">
      <selection activeCell="E31" sqref="E31"/>
    </sheetView>
  </sheetViews>
  <sheetFormatPr defaultColWidth="8.85546875" defaultRowHeight="15" x14ac:dyDescent="0.25"/>
  <cols>
    <col min="1" max="1" width="4.28515625" style="19" customWidth="1"/>
    <col min="2" max="2" width="4" style="19" customWidth="1"/>
    <col min="3" max="3" width="5.28515625" style="97" customWidth="1"/>
    <col min="4" max="4" width="43" style="19" customWidth="1"/>
    <col min="5" max="6" width="17.7109375" style="63" customWidth="1"/>
    <col min="7" max="7" width="15.28515625" style="63" customWidth="1"/>
    <col min="8" max="8" width="12.42578125" bestFit="1" customWidth="1"/>
  </cols>
  <sheetData>
    <row r="1" spans="1:10" s="2" customFormat="1" ht="19.5" thickBot="1" x14ac:dyDescent="0.35">
      <c r="A1" s="15" t="s">
        <v>318</v>
      </c>
      <c r="B1" s="15"/>
      <c r="C1" s="142"/>
      <c r="D1" s="15"/>
      <c r="E1" s="105"/>
      <c r="F1" s="105"/>
      <c r="G1" s="105"/>
    </row>
    <row r="2" spans="1:10" s="2" customFormat="1" ht="35.25" customHeight="1" x14ac:dyDescent="0.25">
      <c r="A2" s="905" t="s">
        <v>47</v>
      </c>
      <c r="B2" s="905"/>
      <c r="C2" s="905"/>
      <c r="D2" s="62" t="s">
        <v>39</v>
      </c>
      <c r="E2" s="157" t="s">
        <v>250</v>
      </c>
      <c r="F2" s="153" t="s">
        <v>283</v>
      </c>
      <c r="G2" s="153" t="s">
        <v>308</v>
      </c>
    </row>
    <row r="3" spans="1:10" s="32" customFormat="1" x14ac:dyDescent="0.25">
      <c r="A3" s="48">
        <v>150</v>
      </c>
      <c r="B3" s="48">
        <v>30</v>
      </c>
      <c r="C3" s="95">
        <v>2</v>
      </c>
      <c r="D3" s="50" t="s">
        <v>2</v>
      </c>
      <c r="E3" s="51"/>
      <c r="F3" s="158">
        <f>E3*6.5%+E3</f>
        <v>0</v>
      </c>
      <c r="G3" s="51">
        <f>F3*5%+F3</f>
        <v>0</v>
      </c>
    </row>
    <row r="4" spans="1:10" s="32" customFormat="1" x14ac:dyDescent="0.25">
      <c r="A4" s="48">
        <v>150</v>
      </c>
      <c r="B4" s="48">
        <v>30</v>
      </c>
      <c r="C4" s="95">
        <v>6</v>
      </c>
      <c r="D4" s="50" t="s">
        <v>3</v>
      </c>
      <c r="E4" s="51"/>
      <c r="F4" s="158">
        <f>E4*6.5%+E4</f>
        <v>0</v>
      </c>
      <c r="G4" s="51">
        <f>F4*5%+F4</f>
        <v>0</v>
      </c>
    </row>
    <row r="5" spans="1:10" s="32" customFormat="1" x14ac:dyDescent="0.25">
      <c r="A5" s="48">
        <v>150</v>
      </c>
      <c r="B5" s="48">
        <v>30</v>
      </c>
      <c r="C5" s="95">
        <v>15</v>
      </c>
      <c r="D5" s="50" t="s">
        <v>4</v>
      </c>
      <c r="E5" s="51"/>
      <c r="F5" s="158">
        <f>E5*6.5%+E5</f>
        <v>0</v>
      </c>
      <c r="G5" s="51">
        <f>F5*5%+F5</f>
        <v>0</v>
      </c>
    </row>
    <row r="6" spans="1:10" s="32" customFormat="1" x14ac:dyDescent="0.25">
      <c r="A6" s="48">
        <v>150</v>
      </c>
      <c r="B6" s="48">
        <v>30</v>
      </c>
      <c r="C6" s="95">
        <v>30</v>
      </c>
      <c r="D6" s="50" t="s">
        <v>5</v>
      </c>
      <c r="E6" s="51"/>
      <c r="F6" s="158">
        <f>E6*6.5%+E6</f>
        <v>0</v>
      </c>
      <c r="G6" s="51">
        <f>F6*5%+F6</f>
        <v>0</v>
      </c>
    </row>
    <row r="7" spans="1:10" s="32" customFormat="1" x14ac:dyDescent="0.25">
      <c r="A7" s="48"/>
      <c r="B7" s="48"/>
      <c r="C7" s="95"/>
      <c r="D7" s="50"/>
      <c r="E7" s="51"/>
      <c r="F7" s="51"/>
      <c r="G7" s="51"/>
    </row>
    <row r="8" spans="1:10" s="137" customFormat="1" x14ac:dyDescent="0.25">
      <c r="A8" s="60" t="s">
        <v>40</v>
      </c>
      <c r="B8" s="60"/>
      <c r="C8" s="139"/>
      <c r="D8" s="60"/>
      <c r="E8" s="44">
        <f>SUM(E3:E6)</f>
        <v>0</v>
      </c>
      <c r="F8" s="44">
        <f>SUM(F3:F6)</f>
        <v>0</v>
      </c>
      <c r="G8" s="44">
        <f>SUM(G3:G6)</f>
        <v>0</v>
      </c>
    </row>
    <row r="9" spans="1:10" s="32" customFormat="1" x14ac:dyDescent="0.25">
      <c r="A9" s="50"/>
      <c r="B9" s="50"/>
      <c r="C9" s="96"/>
      <c r="D9" s="50"/>
      <c r="E9" s="51"/>
      <c r="F9" s="51"/>
      <c r="G9" s="51"/>
    </row>
    <row r="10" spans="1:10" s="32" customFormat="1" x14ac:dyDescent="0.25">
      <c r="A10" s="48">
        <v>150</v>
      </c>
      <c r="B10" s="48">
        <v>31</v>
      </c>
      <c r="C10" s="95">
        <v>18</v>
      </c>
      <c r="D10" s="50" t="s">
        <v>6</v>
      </c>
      <c r="E10" s="51"/>
      <c r="F10" s="158">
        <f>E10*6.5%+E10</f>
        <v>0</v>
      </c>
      <c r="G10" s="51">
        <f>F10*5%+F10</f>
        <v>0</v>
      </c>
    </row>
    <row r="11" spans="1:10" s="32" customFormat="1" x14ac:dyDescent="0.25">
      <c r="A11" s="48">
        <v>150</v>
      </c>
      <c r="B11" s="48">
        <v>31</v>
      </c>
      <c r="C11" s="95">
        <v>22</v>
      </c>
      <c r="D11" s="50" t="s">
        <v>7</v>
      </c>
      <c r="E11" s="51"/>
      <c r="F11" s="158">
        <f>E11*6.5%+E11</f>
        <v>0</v>
      </c>
      <c r="G11" s="51">
        <f>F11*5%+F11</f>
        <v>0</v>
      </c>
    </row>
    <row r="12" spans="1:10" s="32" customFormat="1" x14ac:dyDescent="0.25">
      <c r="A12" s="48">
        <v>150</v>
      </c>
      <c r="B12" s="48">
        <v>31</v>
      </c>
      <c r="C12" s="95">
        <v>25</v>
      </c>
      <c r="D12" s="50" t="s">
        <v>53</v>
      </c>
      <c r="E12" s="51"/>
      <c r="F12" s="158">
        <f>E12*6.5%+E12</f>
        <v>0</v>
      </c>
      <c r="G12" s="51">
        <f>F12*5%+F12</f>
        <v>0</v>
      </c>
    </row>
    <row r="13" spans="1:10" s="32" customFormat="1" x14ac:dyDescent="0.25">
      <c r="A13" s="48">
        <v>150</v>
      </c>
      <c r="B13" s="48">
        <v>31</v>
      </c>
      <c r="C13" s="95">
        <v>70</v>
      </c>
      <c r="D13" s="50" t="s">
        <v>9</v>
      </c>
      <c r="E13" s="51"/>
      <c r="F13" s="158">
        <f>E13*6.5%+E13</f>
        <v>0</v>
      </c>
      <c r="G13" s="51">
        <f>F13*5%+F13</f>
        <v>0</v>
      </c>
    </row>
    <row r="14" spans="1:10" s="2" customFormat="1" x14ac:dyDescent="0.25">
      <c r="A14" s="48"/>
      <c r="B14" s="48"/>
      <c r="C14" s="95"/>
      <c r="D14" s="50"/>
      <c r="E14" s="51"/>
      <c r="F14" s="51"/>
      <c r="G14" s="51"/>
    </row>
    <row r="15" spans="1:10" s="137" customFormat="1" x14ac:dyDescent="0.25">
      <c r="A15" s="60" t="s">
        <v>41</v>
      </c>
      <c r="B15" s="60"/>
      <c r="C15" s="139"/>
      <c r="D15" s="60"/>
      <c r="E15" s="44">
        <f>SUM(E10:E13)</f>
        <v>0</v>
      </c>
      <c r="F15" s="44">
        <f>SUM(F10:F13)</f>
        <v>0</v>
      </c>
      <c r="G15" s="44">
        <f>SUM(G10:G13)</f>
        <v>0</v>
      </c>
      <c r="H15" s="138"/>
    </row>
    <row r="16" spans="1:10" s="72" customFormat="1" x14ac:dyDescent="0.25">
      <c r="A16" s="60"/>
      <c r="B16" s="60"/>
      <c r="C16" s="139"/>
      <c r="D16" s="60"/>
      <c r="E16" s="44"/>
      <c r="F16" s="44"/>
      <c r="G16" s="44"/>
      <c r="H16" s="82"/>
      <c r="I16" s="83"/>
      <c r="J16" s="82"/>
    </row>
    <row r="17" spans="1:8" s="32" customFormat="1" x14ac:dyDescent="0.25">
      <c r="A17" s="48">
        <v>150</v>
      </c>
      <c r="B17" s="48">
        <v>38</v>
      </c>
      <c r="C17" s="95">
        <v>613</v>
      </c>
      <c r="D17" s="50" t="s">
        <v>316</v>
      </c>
      <c r="E17" s="51">
        <v>0</v>
      </c>
      <c r="F17" s="158">
        <f>E17*6.5%+E17</f>
        <v>0</v>
      </c>
      <c r="G17" s="51">
        <f>F17*5%+F17</f>
        <v>0</v>
      </c>
    </row>
    <row r="18" spans="1:8" s="18" customFormat="1" x14ac:dyDescent="0.25">
      <c r="A18" s="48"/>
      <c r="B18" s="48"/>
      <c r="C18" s="95"/>
      <c r="D18" s="50"/>
      <c r="E18" s="51"/>
      <c r="F18" s="51"/>
      <c r="G18" s="51"/>
    </row>
    <row r="19" spans="1:8" s="137" customFormat="1" x14ac:dyDescent="0.25">
      <c r="A19" s="60" t="s">
        <v>43</v>
      </c>
      <c r="B19" s="60"/>
      <c r="C19" s="139"/>
      <c r="D19" s="60"/>
      <c r="E19" s="44">
        <f>SUM(E17)</f>
        <v>0</v>
      </c>
      <c r="F19" s="44">
        <f>SUM(F17)</f>
        <v>0</v>
      </c>
      <c r="G19" s="44">
        <f>SUM(G17)</f>
        <v>0</v>
      </c>
    </row>
    <row r="20" spans="1:8" s="18" customFormat="1" x14ac:dyDescent="0.25">
      <c r="A20" s="50"/>
      <c r="B20" s="50"/>
      <c r="C20" s="96"/>
      <c r="D20" s="50"/>
      <c r="E20" s="51"/>
      <c r="F20" s="51"/>
      <c r="G20" s="51"/>
    </row>
    <row r="21" spans="1:8" s="32" customFormat="1" x14ac:dyDescent="0.25">
      <c r="A21" s="48">
        <v>150</v>
      </c>
      <c r="B21" s="48">
        <v>44</v>
      </c>
      <c r="C21" s="95">
        <v>232</v>
      </c>
      <c r="D21" s="1" t="s">
        <v>312</v>
      </c>
      <c r="E21" s="51">
        <v>0</v>
      </c>
      <c r="F21" s="51">
        <f t="shared" ref="F21:G23" si="0">E21*5%+E21</f>
        <v>0</v>
      </c>
      <c r="G21" s="51">
        <f t="shared" si="0"/>
        <v>0</v>
      </c>
    </row>
    <row r="22" spans="1:8" s="32" customFormat="1" x14ac:dyDescent="0.25">
      <c r="A22" s="48">
        <v>150</v>
      </c>
      <c r="B22" s="48">
        <v>44</v>
      </c>
      <c r="C22" s="95">
        <v>270</v>
      </c>
      <c r="D22" s="1" t="s">
        <v>24</v>
      </c>
      <c r="E22" s="51">
        <v>0</v>
      </c>
      <c r="F22" s="51">
        <f t="shared" si="0"/>
        <v>0</v>
      </c>
      <c r="G22" s="51">
        <f t="shared" si="0"/>
        <v>0</v>
      </c>
    </row>
    <row r="23" spans="1:8" s="32" customFormat="1" x14ac:dyDescent="0.25">
      <c r="A23" s="48">
        <v>150</v>
      </c>
      <c r="B23" s="48">
        <v>44</v>
      </c>
      <c r="C23" s="95">
        <v>290</v>
      </c>
      <c r="D23" s="1" t="s">
        <v>313</v>
      </c>
      <c r="E23" s="51">
        <v>0</v>
      </c>
      <c r="F23" s="51">
        <f t="shared" si="0"/>
        <v>0</v>
      </c>
      <c r="G23" s="51">
        <f t="shared" si="0"/>
        <v>0</v>
      </c>
    </row>
    <row r="24" spans="1:8" s="32" customFormat="1" x14ac:dyDescent="0.25">
      <c r="A24" s="48">
        <v>150</v>
      </c>
      <c r="B24" s="48">
        <v>44</v>
      </c>
      <c r="C24" s="95">
        <v>360</v>
      </c>
      <c r="D24" s="1" t="s">
        <v>59</v>
      </c>
      <c r="E24" s="51">
        <v>0</v>
      </c>
      <c r="F24" s="52"/>
      <c r="G24" s="52"/>
    </row>
    <row r="25" spans="1:8" s="32" customFormat="1" x14ac:dyDescent="0.25">
      <c r="A25" s="48">
        <v>150</v>
      </c>
      <c r="B25" s="48">
        <v>44</v>
      </c>
      <c r="C25" s="95">
        <v>380</v>
      </c>
      <c r="D25" s="1" t="s">
        <v>314</v>
      </c>
      <c r="E25" s="51">
        <v>0</v>
      </c>
      <c r="F25" s="52"/>
      <c r="G25" s="52"/>
    </row>
    <row r="26" spans="1:8" s="136" customFormat="1" x14ac:dyDescent="0.25">
      <c r="A26" s="48">
        <v>150</v>
      </c>
      <c r="B26" s="94">
        <v>44</v>
      </c>
      <c r="C26" s="90">
        <v>386</v>
      </c>
      <c r="D26" s="1" t="s">
        <v>10</v>
      </c>
      <c r="E26" s="91">
        <v>0</v>
      </c>
      <c r="F26" s="140"/>
      <c r="G26" s="140"/>
    </row>
    <row r="27" spans="1:8" s="136" customFormat="1" x14ac:dyDescent="0.25">
      <c r="A27" s="48">
        <v>150</v>
      </c>
      <c r="B27" s="48">
        <v>44</v>
      </c>
      <c r="C27" s="90">
        <v>409</v>
      </c>
      <c r="D27" s="1" t="s">
        <v>127</v>
      </c>
      <c r="E27" s="91">
        <v>0</v>
      </c>
      <c r="F27" s="140"/>
      <c r="G27" s="140"/>
    </row>
    <row r="28" spans="1:8" s="136" customFormat="1" x14ac:dyDescent="0.25">
      <c r="A28" s="48">
        <v>150</v>
      </c>
      <c r="B28" s="94">
        <v>44</v>
      </c>
      <c r="C28" s="90">
        <v>557</v>
      </c>
      <c r="D28" s="1" t="s">
        <v>34</v>
      </c>
      <c r="E28" s="91">
        <v>0</v>
      </c>
      <c r="F28" s="140"/>
      <c r="G28" s="140"/>
    </row>
    <row r="29" spans="1:8" s="136" customFormat="1" x14ac:dyDescent="0.25">
      <c r="A29" s="48">
        <v>150</v>
      </c>
      <c r="B29" s="94">
        <v>44</v>
      </c>
      <c r="C29" s="90">
        <v>560</v>
      </c>
      <c r="D29" s="1" t="s">
        <v>315</v>
      </c>
      <c r="E29" s="91">
        <v>0</v>
      </c>
      <c r="F29" s="140"/>
      <c r="G29" s="140"/>
    </row>
    <row r="30" spans="1:8" s="18" customFormat="1" x14ac:dyDescent="0.25">
      <c r="A30" s="94"/>
      <c r="B30" s="94"/>
      <c r="C30" s="88"/>
      <c r="D30" s="88" t="s">
        <v>346</v>
      </c>
      <c r="E30" s="51">
        <v>0</v>
      </c>
      <c r="F30" s="51"/>
      <c r="G30" s="51"/>
      <c r="H30" s="13"/>
    </row>
    <row r="31" spans="1:8" s="70" customFormat="1" x14ac:dyDescent="0.25">
      <c r="A31" s="139" t="s">
        <v>42</v>
      </c>
      <c r="B31" s="139"/>
      <c r="C31" s="139"/>
      <c r="D31" s="139"/>
      <c r="E31" s="44">
        <f>SUM(E21:E30)</f>
        <v>0</v>
      </c>
      <c r="F31" s="44">
        <f>SUM(F21:F30)</f>
        <v>0</v>
      </c>
      <c r="G31" s="44">
        <f>SUM(G21:G30)</f>
        <v>0</v>
      </c>
    </row>
    <row r="32" spans="1:8" x14ac:dyDescent="0.25">
      <c r="A32" s="139" t="s">
        <v>48</v>
      </c>
      <c r="B32" s="96"/>
      <c r="C32" s="96"/>
      <c r="D32" s="96"/>
      <c r="E32" s="89">
        <f>E8+E15+E19+E31</f>
        <v>0</v>
      </c>
      <c r="F32" s="89">
        <f>F8+F15+F19+F31</f>
        <v>0</v>
      </c>
      <c r="G32" s="89">
        <f>G8+G15+G19+G31</f>
        <v>0</v>
      </c>
    </row>
  </sheetData>
  <mergeCells count="1">
    <mergeCell ref="A2:C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2"/>
  <sheetViews>
    <sheetView topLeftCell="A13" workbookViewId="0">
      <selection activeCell="J29" sqref="J29"/>
    </sheetView>
  </sheetViews>
  <sheetFormatPr defaultColWidth="8.85546875" defaultRowHeight="15" x14ac:dyDescent="0.25"/>
  <cols>
    <col min="1" max="1" width="4.28515625" style="19" customWidth="1"/>
    <col min="2" max="2" width="4" style="19" customWidth="1"/>
    <col min="3" max="3" width="5.28515625" style="97" customWidth="1"/>
    <col min="4" max="4" width="43" style="19" customWidth="1"/>
    <col min="5" max="6" width="17.7109375" style="63" customWidth="1"/>
    <col min="7" max="7" width="15.28515625" style="63" customWidth="1"/>
    <col min="8" max="8" width="12.42578125" bestFit="1" customWidth="1"/>
  </cols>
  <sheetData>
    <row r="1" spans="1:10" s="2" customFormat="1" ht="19.5" thickBot="1" x14ac:dyDescent="0.35">
      <c r="A1" s="15" t="s">
        <v>319</v>
      </c>
      <c r="B1" s="15"/>
      <c r="C1" s="142"/>
      <c r="D1" s="15"/>
      <c r="E1" s="105"/>
      <c r="F1" s="105"/>
      <c r="G1" s="105"/>
    </row>
    <row r="2" spans="1:10" s="2" customFormat="1" ht="35.25" customHeight="1" x14ac:dyDescent="0.25">
      <c r="A2" s="905" t="s">
        <v>47</v>
      </c>
      <c r="B2" s="905"/>
      <c r="C2" s="905"/>
      <c r="D2" s="62" t="s">
        <v>39</v>
      </c>
      <c r="E2" s="157" t="s">
        <v>250</v>
      </c>
      <c r="F2" s="153" t="s">
        <v>283</v>
      </c>
      <c r="G2" s="153" t="s">
        <v>308</v>
      </c>
    </row>
    <row r="3" spans="1:10" s="32" customFormat="1" x14ac:dyDescent="0.25">
      <c r="A3" s="48">
        <v>151</v>
      </c>
      <c r="B3" s="48">
        <v>30</v>
      </c>
      <c r="C3" s="95">
        <v>2</v>
      </c>
      <c r="D3" s="50" t="s">
        <v>2</v>
      </c>
      <c r="E3" s="51"/>
      <c r="F3" s="158">
        <f>E3*6.5%+E3</f>
        <v>0</v>
      </c>
      <c r="G3" s="51">
        <f>F3*5%+F3</f>
        <v>0</v>
      </c>
    </row>
    <row r="4" spans="1:10" s="32" customFormat="1" x14ac:dyDescent="0.25">
      <c r="A4" s="48">
        <v>151</v>
      </c>
      <c r="B4" s="48">
        <v>30</v>
      </c>
      <c r="C4" s="95">
        <v>6</v>
      </c>
      <c r="D4" s="50" t="s">
        <v>3</v>
      </c>
      <c r="E4" s="51"/>
      <c r="F4" s="158">
        <f>E4*6.5%+E4</f>
        <v>0</v>
      </c>
      <c r="G4" s="51">
        <f>F4*5%+F4</f>
        <v>0</v>
      </c>
    </row>
    <row r="5" spans="1:10" s="32" customFormat="1" x14ac:dyDescent="0.25">
      <c r="A5" s="48">
        <v>151</v>
      </c>
      <c r="B5" s="48">
        <v>30</v>
      </c>
      <c r="C5" s="95">
        <v>15</v>
      </c>
      <c r="D5" s="50" t="s">
        <v>4</v>
      </c>
      <c r="E5" s="51"/>
      <c r="F5" s="158">
        <f>E5*6.5%+E5</f>
        <v>0</v>
      </c>
      <c r="G5" s="51">
        <f>F5*5%+F5</f>
        <v>0</v>
      </c>
    </row>
    <row r="6" spans="1:10" s="32" customFormat="1" x14ac:dyDescent="0.25">
      <c r="A6" s="48">
        <v>151</v>
      </c>
      <c r="B6" s="48">
        <v>30</v>
      </c>
      <c r="C6" s="95">
        <v>30</v>
      </c>
      <c r="D6" s="50" t="s">
        <v>5</v>
      </c>
      <c r="E6" s="51"/>
      <c r="F6" s="158">
        <f>E6*6.5%+E6</f>
        <v>0</v>
      </c>
      <c r="G6" s="51">
        <f>F6*5%+F6</f>
        <v>0</v>
      </c>
    </row>
    <row r="7" spans="1:10" s="32" customFormat="1" x14ac:dyDescent="0.25">
      <c r="A7" s="48"/>
      <c r="B7" s="48"/>
      <c r="C7" s="95"/>
      <c r="D7" s="50"/>
      <c r="E7" s="51"/>
      <c r="F7" s="51"/>
      <c r="G7" s="51"/>
    </row>
    <row r="8" spans="1:10" s="137" customFormat="1" x14ac:dyDescent="0.25">
      <c r="A8" s="60" t="s">
        <v>40</v>
      </c>
      <c r="B8" s="60"/>
      <c r="C8" s="139"/>
      <c r="D8" s="60"/>
      <c r="E8" s="44">
        <f>SUM(E3:E6)</f>
        <v>0</v>
      </c>
      <c r="F8" s="44">
        <f>SUM(F3:F6)</f>
        <v>0</v>
      </c>
      <c r="G8" s="44">
        <f>SUM(G3:G6)</f>
        <v>0</v>
      </c>
    </row>
    <row r="9" spans="1:10" s="32" customFormat="1" x14ac:dyDescent="0.25">
      <c r="A9" s="50"/>
      <c r="B9" s="50"/>
      <c r="C9" s="96"/>
      <c r="D9" s="50"/>
      <c r="E9" s="51"/>
      <c r="F9" s="51"/>
      <c r="G9" s="51"/>
    </row>
    <row r="10" spans="1:10" s="32" customFormat="1" x14ac:dyDescent="0.25">
      <c r="A10" s="48">
        <v>151</v>
      </c>
      <c r="B10" s="48">
        <v>31</v>
      </c>
      <c r="C10" s="95">
        <v>18</v>
      </c>
      <c r="D10" s="50" t="s">
        <v>6</v>
      </c>
      <c r="E10" s="51"/>
      <c r="F10" s="158">
        <f>E10*6.5%+E10</f>
        <v>0</v>
      </c>
      <c r="G10" s="51">
        <f>F10*5%+F10</f>
        <v>0</v>
      </c>
    </row>
    <row r="11" spans="1:10" s="32" customFormat="1" x14ac:dyDescent="0.25">
      <c r="A11" s="48">
        <v>151</v>
      </c>
      <c r="B11" s="48">
        <v>31</v>
      </c>
      <c r="C11" s="95">
        <v>22</v>
      </c>
      <c r="D11" s="50" t="s">
        <v>7</v>
      </c>
      <c r="E11" s="51"/>
      <c r="F11" s="158">
        <f>E11*6.5%+E11</f>
        <v>0</v>
      </c>
      <c r="G11" s="51">
        <f>F11*5%+F11</f>
        <v>0</v>
      </c>
    </row>
    <row r="12" spans="1:10" s="32" customFormat="1" x14ac:dyDescent="0.25">
      <c r="A12" s="48">
        <v>151</v>
      </c>
      <c r="B12" s="48">
        <v>31</v>
      </c>
      <c r="C12" s="95">
        <v>25</v>
      </c>
      <c r="D12" s="50" t="s">
        <v>53</v>
      </c>
      <c r="E12" s="51"/>
      <c r="F12" s="158">
        <f>E12*6.5%+E12</f>
        <v>0</v>
      </c>
      <c r="G12" s="51">
        <f>F12*5%+F12</f>
        <v>0</v>
      </c>
    </row>
    <row r="13" spans="1:10" s="32" customFormat="1" x14ac:dyDescent="0.25">
      <c r="A13" s="48">
        <v>151</v>
      </c>
      <c r="B13" s="48">
        <v>31</v>
      </c>
      <c r="C13" s="95">
        <v>70</v>
      </c>
      <c r="D13" s="50" t="s">
        <v>9</v>
      </c>
      <c r="E13" s="51"/>
      <c r="F13" s="158">
        <f>E13*6.5%+E13</f>
        <v>0</v>
      </c>
      <c r="G13" s="51">
        <f>F13*5%+F13</f>
        <v>0</v>
      </c>
    </row>
    <row r="14" spans="1:10" s="2" customFormat="1" x14ac:dyDescent="0.25">
      <c r="A14" s="48"/>
      <c r="B14" s="48"/>
      <c r="C14" s="95"/>
      <c r="D14" s="50"/>
      <c r="E14" s="51"/>
      <c r="F14" s="51"/>
      <c r="G14" s="51"/>
    </row>
    <row r="15" spans="1:10" s="137" customFormat="1" x14ac:dyDescent="0.25">
      <c r="A15" s="60" t="s">
        <v>41</v>
      </c>
      <c r="B15" s="60"/>
      <c r="C15" s="139"/>
      <c r="D15" s="60"/>
      <c r="E15" s="44">
        <f>SUM(E10:E13)</f>
        <v>0</v>
      </c>
      <c r="F15" s="44">
        <f>SUM(F10:F13)</f>
        <v>0</v>
      </c>
      <c r="G15" s="44">
        <f>SUM(G10:G13)</f>
        <v>0</v>
      </c>
      <c r="H15" s="138"/>
    </row>
    <row r="16" spans="1:10" s="72" customFormat="1" x14ac:dyDescent="0.25">
      <c r="A16" s="60"/>
      <c r="B16" s="60"/>
      <c r="C16" s="139"/>
      <c r="D16" s="60"/>
      <c r="E16" s="44"/>
      <c r="F16" s="44"/>
      <c r="G16" s="44"/>
      <c r="H16" s="82"/>
      <c r="I16" s="83"/>
      <c r="J16" s="82"/>
    </row>
    <row r="17" spans="1:8" s="32" customFormat="1" x14ac:dyDescent="0.25">
      <c r="A17" s="48">
        <v>151</v>
      </c>
      <c r="B17" s="48">
        <v>38</v>
      </c>
      <c r="C17" s="95">
        <v>613</v>
      </c>
      <c r="D17" s="50" t="s">
        <v>316</v>
      </c>
      <c r="E17" s="51"/>
      <c r="F17" s="158">
        <f>E17*6.5%+E17</f>
        <v>0</v>
      </c>
      <c r="G17" s="51">
        <f>F17*5%+F17</f>
        <v>0</v>
      </c>
    </row>
    <row r="18" spans="1:8" s="18" customFormat="1" x14ac:dyDescent="0.25">
      <c r="A18" s="48"/>
      <c r="B18" s="48"/>
      <c r="C18" s="95"/>
      <c r="D18" s="50"/>
      <c r="E18" s="51"/>
      <c r="F18" s="51"/>
      <c r="G18" s="51"/>
    </row>
    <row r="19" spans="1:8" s="137" customFormat="1" x14ac:dyDescent="0.25">
      <c r="A19" s="60" t="s">
        <v>43</v>
      </c>
      <c r="B19" s="60"/>
      <c r="C19" s="139"/>
      <c r="D19" s="60"/>
      <c r="E19" s="44">
        <f>SUM(E17)</f>
        <v>0</v>
      </c>
      <c r="F19" s="44">
        <f>SUM(F17)</f>
        <v>0</v>
      </c>
      <c r="G19" s="44">
        <f>SUM(G17)</f>
        <v>0</v>
      </c>
    </row>
    <row r="20" spans="1:8" s="18" customFormat="1" x14ac:dyDescent="0.25">
      <c r="A20" s="50"/>
      <c r="B20" s="50"/>
      <c r="C20" s="96"/>
      <c r="D20" s="50"/>
      <c r="E20" s="51"/>
      <c r="F20" s="51"/>
      <c r="G20" s="51"/>
    </row>
    <row r="21" spans="1:8" s="32" customFormat="1" x14ac:dyDescent="0.25">
      <c r="A21" s="48">
        <v>151</v>
      </c>
      <c r="B21" s="48">
        <v>44</v>
      </c>
      <c r="C21" s="95">
        <v>232</v>
      </c>
      <c r="D21" s="1" t="s">
        <v>312</v>
      </c>
      <c r="E21" s="51">
        <v>0</v>
      </c>
      <c r="F21" s="51">
        <f t="shared" ref="F21:G30" si="0">E21*5%+E21</f>
        <v>0</v>
      </c>
      <c r="G21" s="51">
        <f t="shared" si="0"/>
        <v>0</v>
      </c>
    </row>
    <row r="22" spans="1:8" s="32" customFormat="1" x14ac:dyDescent="0.25">
      <c r="A22" s="48">
        <v>151</v>
      </c>
      <c r="B22" s="48">
        <v>44</v>
      </c>
      <c r="C22" s="95">
        <v>270</v>
      </c>
      <c r="D22" s="1" t="s">
        <v>24</v>
      </c>
      <c r="E22" s="51">
        <v>0</v>
      </c>
      <c r="F22" s="51">
        <f t="shared" si="0"/>
        <v>0</v>
      </c>
      <c r="G22" s="51">
        <f t="shared" si="0"/>
        <v>0</v>
      </c>
    </row>
    <row r="23" spans="1:8" s="32" customFormat="1" x14ac:dyDescent="0.25">
      <c r="A23" s="48">
        <v>151</v>
      </c>
      <c r="B23" s="48">
        <v>44</v>
      </c>
      <c r="C23" s="95">
        <v>290</v>
      </c>
      <c r="D23" s="1" t="s">
        <v>313</v>
      </c>
      <c r="E23" s="51">
        <v>0</v>
      </c>
      <c r="F23" s="51">
        <f t="shared" si="0"/>
        <v>0</v>
      </c>
      <c r="G23" s="51">
        <f t="shared" si="0"/>
        <v>0</v>
      </c>
    </row>
    <row r="24" spans="1:8" s="32" customFormat="1" x14ac:dyDescent="0.25">
      <c r="A24" s="48">
        <v>151</v>
      </c>
      <c r="B24" s="48">
        <v>44</v>
      </c>
      <c r="C24" s="95">
        <v>360</v>
      </c>
      <c r="D24" s="1" t="s">
        <v>59</v>
      </c>
      <c r="E24" s="51">
        <v>0</v>
      </c>
      <c r="F24" s="51">
        <f t="shared" si="0"/>
        <v>0</v>
      </c>
      <c r="G24" s="51">
        <f t="shared" si="0"/>
        <v>0</v>
      </c>
    </row>
    <row r="25" spans="1:8" s="32" customFormat="1" x14ac:dyDescent="0.25">
      <c r="A25" s="48">
        <v>151</v>
      </c>
      <c r="B25" s="48">
        <v>44</v>
      </c>
      <c r="C25" s="95">
        <v>380</v>
      </c>
      <c r="D25" s="1" t="s">
        <v>314</v>
      </c>
      <c r="E25" s="51">
        <v>0</v>
      </c>
      <c r="F25" s="51">
        <f t="shared" si="0"/>
        <v>0</v>
      </c>
      <c r="G25" s="51">
        <f t="shared" si="0"/>
        <v>0</v>
      </c>
    </row>
    <row r="26" spans="1:8" s="136" customFormat="1" x14ac:dyDescent="0.25">
      <c r="A26" s="48">
        <v>151</v>
      </c>
      <c r="B26" s="94">
        <v>44</v>
      </c>
      <c r="C26" s="90">
        <v>386</v>
      </c>
      <c r="D26" s="1" t="s">
        <v>10</v>
      </c>
      <c r="E26" s="91">
        <v>0</v>
      </c>
      <c r="F26" s="51">
        <f t="shared" si="0"/>
        <v>0</v>
      </c>
      <c r="G26" s="51">
        <f t="shared" si="0"/>
        <v>0</v>
      </c>
    </row>
    <row r="27" spans="1:8" s="136" customFormat="1" x14ac:dyDescent="0.25">
      <c r="A27" s="48">
        <v>151</v>
      </c>
      <c r="B27" s="48">
        <v>44</v>
      </c>
      <c r="C27" s="90">
        <v>409</v>
      </c>
      <c r="D27" s="1" t="s">
        <v>127</v>
      </c>
      <c r="E27" s="91">
        <v>0</v>
      </c>
      <c r="F27" s="51">
        <f t="shared" si="0"/>
        <v>0</v>
      </c>
      <c r="G27" s="51">
        <f t="shared" si="0"/>
        <v>0</v>
      </c>
    </row>
    <row r="28" spans="1:8" s="136" customFormat="1" x14ac:dyDescent="0.25">
      <c r="A28" s="48">
        <v>151</v>
      </c>
      <c r="B28" s="94">
        <v>44</v>
      </c>
      <c r="C28" s="90">
        <v>557</v>
      </c>
      <c r="D28" s="1" t="s">
        <v>34</v>
      </c>
      <c r="E28" s="91">
        <v>0</v>
      </c>
      <c r="F28" s="51">
        <f t="shared" si="0"/>
        <v>0</v>
      </c>
      <c r="G28" s="51">
        <f t="shared" si="0"/>
        <v>0</v>
      </c>
    </row>
    <row r="29" spans="1:8" s="136" customFormat="1" x14ac:dyDescent="0.25">
      <c r="A29" s="48">
        <v>151</v>
      </c>
      <c r="B29" s="94">
        <v>44</v>
      </c>
      <c r="C29" s="90">
        <v>560</v>
      </c>
      <c r="D29" s="1" t="s">
        <v>315</v>
      </c>
      <c r="E29" s="91">
        <v>0</v>
      </c>
      <c r="F29" s="51">
        <f t="shared" si="0"/>
        <v>0</v>
      </c>
      <c r="G29" s="51">
        <f t="shared" si="0"/>
        <v>0</v>
      </c>
    </row>
    <row r="30" spans="1:8" s="18" customFormat="1" x14ac:dyDescent="0.25">
      <c r="A30" s="94"/>
      <c r="B30" s="94"/>
      <c r="C30" s="88"/>
      <c r="D30" s="88" t="s">
        <v>346</v>
      </c>
      <c r="E30" s="51">
        <v>0</v>
      </c>
      <c r="F30" s="51">
        <f t="shared" si="0"/>
        <v>0</v>
      </c>
      <c r="G30" s="51">
        <f t="shared" si="0"/>
        <v>0</v>
      </c>
      <c r="H30" s="13"/>
    </row>
    <row r="31" spans="1:8" s="70" customFormat="1" x14ac:dyDescent="0.25">
      <c r="A31" s="139" t="s">
        <v>42</v>
      </c>
      <c r="B31" s="139"/>
      <c r="C31" s="139"/>
      <c r="D31" s="139"/>
      <c r="E31" s="44">
        <f>SUM(E21:E30)</f>
        <v>0</v>
      </c>
      <c r="F31" s="44">
        <f>SUM(F21:F30)</f>
        <v>0</v>
      </c>
      <c r="G31" s="44">
        <f>SUM(G21:G30)</f>
        <v>0</v>
      </c>
    </row>
    <row r="32" spans="1:8" x14ac:dyDescent="0.25">
      <c r="A32" s="139" t="s">
        <v>48</v>
      </c>
      <c r="B32" s="96"/>
      <c r="C32" s="96"/>
      <c r="D32" s="96"/>
      <c r="E32" s="89">
        <f>E8+E15+E19+E31</f>
        <v>0</v>
      </c>
      <c r="F32" s="89">
        <f>F8+F15+F19+F31</f>
        <v>0</v>
      </c>
      <c r="G32" s="89">
        <f>G8+G15+G19+G31</f>
        <v>0</v>
      </c>
    </row>
  </sheetData>
  <mergeCells count="1">
    <mergeCell ref="A2:C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I28"/>
  <sheetViews>
    <sheetView view="pageBreakPreview" zoomScale="60" zoomScaleNormal="100" workbookViewId="0">
      <selection activeCell="F20" sqref="F20"/>
    </sheetView>
  </sheetViews>
  <sheetFormatPr defaultColWidth="9.28515625" defaultRowHeight="15" x14ac:dyDescent="0.25"/>
  <cols>
    <col min="1" max="1" width="27.7109375" style="19" customWidth="1"/>
    <col min="2" max="2" width="16" style="63" hidden="1" customWidth="1"/>
    <col min="3" max="7" width="16.140625" style="63" customWidth="1"/>
    <col min="8" max="8" width="15.28515625" style="63" customWidth="1"/>
    <col min="9" max="9" width="12.140625" style="19" customWidth="1"/>
    <col min="10" max="16384" width="9.28515625" style="19"/>
  </cols>
  <sheetData>
    <row r="1" spans="1:9" s="18" customFormat="1" ht="18.75" x14ac:dyDescent="0.3">
      <c r="A1" s="15" t="s">
        <v>519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3.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8"/>
    </row>
    <row r="8" spans="1:9" s="18" customFormat="1" hidden="1" x14ac:dyDescent="0.25">
      <c r="A8" s="50"/>
      <c r="B8" s="51"/>
      <c r="C8" s="177"/>
      <c r="D8" s="177"/>
      <c r="E8" s="177"/>
      <c r="F8" s="177"/>
      <c r="G8" s="177"/>
      <c r="H8" s="51"/>
      <c r="I8" s="438"/>
    </row>
    <row r="9" spans="1:9" s="134" customFormat="1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9"/>
    </row>
    <row r="10" spans="1:9" s="18" customFormat="1" hidden="1" x14ac:dyDescent="0.25">
      <c r="A10" s="50"/>
      <c r="B10" s="51"/>
      <c r="C10" s="177"/>
      <c r="D10" s="177"/>
      <c r="E10" s="177"/>
      <c r="F10" s="177"/>
      <c r="G10" s="177"/>
      <c r="H10" s="51"/>
      <c r="I10" s="438"/>
    </row>
    <row r="11" spans="1:9" s="18" customFormat="1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177"/>
      <c r="D15" s="177"/>
      <c r="E15" s="177"/>
      <c r="F15" s="177"/>
      <c r="G15" s="177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9"/>
    </row>
    <row r="17" spans="1:9" ht="12.75" customHeight="1" x14ac:dyDescent="0.25">
      <c r="A17" s="60"/>
      <c r="B17" s="44"/>
      <c r="C17" s="178"/>
      <c r="D17" s="178"/>
      <c r="E17" s="178"/>
      <c r="F17" s="178"/>
      <c r="G17" s="178"/>
      <c r="H17" s="44"/>
      <c r="I17" s="438"/>
    </row>
    <row r="18" spans="1:9" s="18" customFormat="1" ht="12" customHeight="1" x14ac:dyDescent="0.25">
      <c r="A18" s="50" t="s">
        <v>316</v>
      </c>
      <c r="B18" s="51">
        <v>130000</v>
      </c>
      <c r="C18" s="165">
        <f t="shared" ref="C18:I19" si="0">B18*6.25%+B18</f>
        <v>138125</v>
      </c>
      <c r="D18" s="165"/>
      <c r="E18" s="165">
        <f>C18-D18</f>
        <v>138125</v>
      </c>
      <c r="F18" s="165">
        <f>-E18</f>
        <v>-138125</v>
      </c>
      <c r="G18" s="165">
        <f>C18+F18</f>
        <v>0</v>
      </c>
      <c r="H18" s="165">
        <f>C18*6.25%+C18</f>
        <v>146757.8125</v>
      </c>
      <c r="I18" s="440">
        <f t="shared" si="0"/>
        <v>155930.17578125</v>
      </c>
    </row>
    <row r="19" spans="1:9" s="18" customFormat="1" ht="12" customHeight="1" x14ac:dyDescent="0.25">
      <c r="A19" s="50" t="s">
        <v>20</v>
      </c>
      <c r="B19" s="51">
        <v>30000</v>
      </c>
      <c r="C19" s="165">
        <f t="shared" si="0"/>
        <v>31875</v>
      </c>
      <c r="D19" s="165"/>
      <c r="E19" s="165">
        <f>C19-D19</f>
        <v>31875</v>
      </c>
      <c r="F19" s="165">
        <f>-E19</f>
        <v>-31875</v>
      </c>
      <c r="G19" s="165">
        <f>C19+F19</f>
        <v>0</v>
      </c>
      <c r="H19" s="165">
        <f>C19*6.25%+C19</f>
        <v>33867.1875</v>
      </c>
      <c r="I19" s="440">
        <f t="shared" si="0"/>
        <v>35983.88671875</v>
      </c>
    </row>
    <row r="20" spans="1:9" s="134" customFormat="1" ht="18" customHeight="1" x14ac:dyDescent="0.25">
      <c r="A20" s="342" t="s">
        <v>43</v>
      </c>
      <c r="B20" s="44">
        <f>SUM(B18:B19)</f>
        <v>160000</v>
      </c>
      <c r="C20" s="178">
        <f>SUM(C18:C19)</f>
        <v>170000</v>
      </c>
      <c r="D20" s="178">
        <f t="shared" ref="D20:E20" si="1">SUM(D18:D19)</f>
        <v>0</v>
      </c>
      <c r="E20" s="178">
        <f t="shared" si="1"/>
        <v>170000</v>
      </c>
      <c r="F20" s="178">
        <f t="shared" ref="F20:G20" si="2">SUM(F18:F19)</f>
        <v>-170000</v>
      </c>
      <c r="G20" s="178">
        <f t="shared" si="2"/>
        <v>0</v>
      </c>
      <c r="H20" s="178">
        <f>SUM(H18:H19)</f>
        <v>180625</v>
      </c>
      <c r="I20" s="400">
        <f>SUM(I18:I19)</f>
        <v>191914.0625</v>
      </c>
    </row>
    <row r="21" spans="1:9" s="18" customFormat="1" hidden="1" x14ac:dyDescent="0.25">
      <c r="A21" s="398"/>
      <c r="B21" s="51"/>
      <c r="C21" s="177"/>
      <c r="D21" s="177"/>
      <c r="E21" s="177"/>
      <c r="F21" s="177"/>
      <c r="G21" s="177"/>
      <c r="H21" s="51"/>
      <c r="I21" s="441">
        <f t="shared" ref="I21:I26" si="3">H21*5.4%+H21</f>
        <v>0</v>
      </c>
    </row>
    <row r="22" spans="1:9" s="18" customFormat="1" hidden="1" x14ac:dyDescent="0.25">
      <c r="A22" s="341">
        <v>149</v>
      </c>
      <c r="B22" s="51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41">
        <f t="shared" si="3"/>
        <v>0</v>
      </c>
    </row>
    <row r="23" spans="1:9" s="18" customFormat="1" hidden="1" x14ac:dyDescent="0.25">
      <c r="A23" s="341">
        <v>149</v>
      </c>
      <c r="B23" s="51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41">
        <f t="shared" si="3"/>
        <v>0</v>
      </c>
    </row>
    <row r="24" spans="1:9" s="18" customFormat="1" hidden="1" x14ac:dyDescent="0.25">
      <c r="A24" s="341">
        <v>149</v>
      </c>
      <c r="B24" s="51"/>
      <c r="C24" s="214">
        <f>B24*6.2%+B24</f>
        <v>0</v>
      </c>
      <c r="D24" s="214"/>
      <c r="E24" s="214"/>
      <c r="F24" s="214"/>
      <c r="G24" s="214"/>
      <c r="H24" s="165">
        <f>C24*5.9%+C24</f>
        <v>0</v>
      </c>
      <c r="I24" s="441">
        <f t="shared" si="3"/>
        <v>0</v>
      </c>
    </row>
    <row r="25" spans="1:9" s="92" customFormat="1" hidden="1" x14ac:dyDescent="0.25">
      <c r="A25" s="341"/>
      <c r="B25" s="91"/>
      <c r="C25" s="214">
        <f>B25*6.2%+B25</f>
        <v>0</v>
      </c>
      <c r="D25" s="214"/>
      <c r="E25" s="214"/>
      <c r="F25" s="214"/>
      <c r="G25" s="214"/>
      <c r="H25" s="165">
        <f>C25*5.9%+C25</f>
        <v>0</v>
      </c>
      <c r="I25" s="441">
        <f t="shared" si="3"/>
        <v>0</v>
      </c>
    </row>
    <row r="26" spans="1:9" s="134" customFormat="1" hidden="1" x14ac:dyDescent="0.25">
      <c r="A26" s="343" t="s">
        <v>42</v>
      </c>
      <c r="B26" s="44">
        <f>SUM(B22:B25)</f>
        <v>0</v>
      </c>
      <c r="C26" s="178">
        <f>SUM(C22:C25)</f>
        <v>0</v>
      </c>
      <c r="D26" s="178"/>
      <c r="E26" s="178"/>
      <c r="F26" s="178"/>
      <c r="G26" s="178"/>
      <c r="H26" s="44">
        <f>SUM(H22:H25)</f>
        <v>0</v>
      </c>
      <c r="I26" s="441">
        <f t="shared" si="3"/>
        <v>0</v>
      </c>
    </row>
    <row r="27" spans="1:9" s="134" customFormat="1" x14ac:dyDescent="0.25">
      <c r="A27" s="343"/>
      <c r="B27" s="44"/>
      <c r="C27" s="178"/>
      <c r="D27" s="178"/>
      <c r="E27" s="178"/>
      <c r="F27" s="178"/>
      <c r="G27" s="178"/>
      <c r="H27" s="44"/>
      <c r="I27" s="441"/>
    </row>
    <row r="28" spans="1:9" ht="15.75" thickBot="1" x14ac:dyDescent="0.3">
      <c r="A28" s="390" t="s">
        <v>48</v>
      </c>
      <c r="B28" s="391">
        <f>B9+B16+B20+B26</f>
        <v>160000</v>
      </c>
      <c r="C28" s="403">
        <f>C9+C16+C20+C26</f>
        <v>170000</v>
      </c>
      <c r="D28" s="403">
        <f t="shared" ref="D28:E28" si="4">D9+D16+D20+D26</f>
        <v>0</v>
      </c>
      <c r="E28" s="403">
        <f t="shared" si="4"/>
        <v>170000</v>
      </c>
      <c r="F28" s="403">
        <f t="shared" ref="F28:G28" si="5">F9+F16+F20+F26</f>
        <v>-170000</v>
      </c>
      <c r="G28" s="403">
        <f t="shared" si="5"/>
        <v>0</v>
      </c>
      <c r="H28" s="403">
        <f>H9+H16+H20+H26</f>
        <v>180625</v>
      </c>
      <c r="I28" s="401">
        <f>I9+I16+I20+I26</f>
        <v>191914.0625</v>
      </c>
    </row>
  </sheetData>
  <pageMargins left="0.7" right="0.7" top="0.75" bottom="0.75" header="0.3" footer="0.3"/>
  <pageSetup scale="66" orientation="portrait" r:id="rId1"/>
  <headerFooter>
    <oddFooter>&amp;A&amp;RPage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I25"/>
  <sheetViews>
    <sheetView view="pageBreakPreview" zoomScale="60" zoomScaleNormal="100" workbookViewId="0">
      <selection activeCell="F23" sqref="F23"/>
    </sheetView>
  </sheetViews>
  <sheetFormatPr defaultColWidth="9.28515625" defaultRowHeight="15" x14ac:dyDescent="0.25"/>
  <cols>
    <col min="1" max="1" width="47.28515625" style="19" customWidth="1"/>
    <col min="2" max="2" width="0.28515625" style="63" customWidth="1"/>
    <col min="3" max="7" width="14.28515625" style="63" customWidth="1"/>
    <col min="8" max="8" width="12.42578125" style="63" customWidth="1"/>
    <col min="9" max="9" width="13.42578125" style="19" customWidth="1"/>
    <col min="10" max="16384" width="9.28515625" style="19"/>
  </cols>
  <sheetData>
    <row r="1" spans="1:9" s="18" customFormat="1" ht="18.75" x14ac:dyDescent="0.3">
      <c r="A1" s="15" t="s">
        <v>520</v>
      </c>
      <c r="B1" s="105"/>
      <c r="C1" s="105"/>
      <c r="D1" s="105"/>
      <c r="E1" s="105"/>
      <c r="F1" s="105"/>
      <c r="G1" s="105"/>
      <c r="H1" s="105"/>
    </row>
    <row r="2" spans="1:9" s="18" customFormat="1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s="18" customFormat="1" ht="45.7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s="18" customFormat="1" hidden="1" x14ac:dyDescent="0.25">
      <c r="A4" s="50" t="s">
        <v>2</v>
      </c>
      <c r="B4" s="51"/>
      <c r="C4" s="158">
        <f>B4*6.5%+B4</f>
        <v>0</v>
      </c>
      <c r="D4" s="158"/>
      <c r="E4" s="158"/>
      <c r="F4" s="158"/>
      <c r="G4" s="158"/>
      <c r="H4" s="51">
        <f>C4*5%+C4</f>
        <v>0</v>
      </c>
      <c r="I4" s="438"/>
    </row>
    <row r="5" spans="1:9" s="18" customFormat="1" hidden="1" x14ac:dyDescent="0.25">
      <c r="A5" s="50" t="s">
        <v>3</v>
      </c>
      <c r="B5" s="51"/>
      <c r="C5" s="158">
        <f>B5*6.5%+B5</f>
        <v>0</v>
      </c>
      <c r="D5" s="158"/>
      <c r="E5" s="158"/>
      <c r="F5" s="158"/>
      <c r="G5" s="158"/>
      <c r="H5" s="51">
        <f>C5*5%+C5</f>
        <v>0</v>
      </c>
      <c r="I5" s="438"/>
    </row>
    <row r="6" spans="1:9" s="18" customFormat="1" hidden="1" x14ac:dyDescent="0.25">
      <c r="A6" s="50" t="s">
        <v>4</v>
      </c>
      <c r="B6" s="51"/>
      <c r="C6" s="158">
        <f>B6*6.5%+B6</f>
        <v>0</v>
      </c>
      <c r="D6" s="158"/>
      <c r="E6" s="158"/>
      <c r="F6" s="158"/>
      <c r="G6" s="158"/>
      <c r="H6" s="51">
        <f>C6*5%+C6</f>
        <v>0</v>
      </c>
      <c r="I6" s="438"/>
    </row>
    <row r="7" spans="1:9" s="18" customFormat="1" hidden="1" x14ac:dyDescent="0.25">
      <c r="A7" s="50" t="s">
        <v>5</v>
      </c>
      <c r="B7" s="51"/>
      <c r="C7" s="158">
        <f>B7*6.5%+B7</f>
        <v>0</v>
      </c>
      <c r="D7" s="158"/>
      <c r="E7" s="158"/>
      <c r="F7" s="158"/>
      <c r="G7" s="158"/>
      <c r="H7" s="51">
        <f>C7*5%+C7</f>
        <v>0</v>
      </c>
      <c r="I7" s="438"/>
    </row>
    <row r="8" spans="1:9" s="18" customFormat="1" hidden="1" x14ac:dyDescent="0.25">
      <c r="A8" s="50"/>
      <c r="B8" s="51"/>
      <c r="C8" s="51"/>
      <c r="D8" s="51"/>
      <c r="E8" s="51"/>
      <c r="F8" s="51"/>
      <c r="G8" s="51"/>
      <c r="H8" s="51"/>
      <c r="I8" s="438"/>
    </row>
    <row r="9" spans="1:9" s="134" customFormat="1" hidden="1" x14ac:dyDescent="0.25">
      <c r="A9" s="60"/>
      <c r="B9" s="44">
        <f>SUM(B4:B7)</f>
        <v>0</v>
      </c>
      <c r="C9" s="44">
        <f>SUM(C4:C7)</f>
        <v>0</v>
      </c>
      <c r="D9" s="44"/>
      <c r="E9" s="44"/>
      <c r="F9" s="44"/>
      <c r="G9" s="44"/>
      <c r="H9" s="44">
        <f>SUM(H4:H7)</f>
        <v>0</v>
      </c>
      <c r="I9" s="439"/>
    </row>
    <row r="10" spans="1:9" s="18" customFormat="1" hidden="1" x14ac:dyDescent="0.25">
      <c r="A10" s="50"/>
      <c r="B10" s="51"/>
      <c r="C10" s="51"/>
      <c r="D10" s="51"/>
      <c r="E10" s="51"/>
      <c r="F10" s="51"/>
      <c r="G10" s="51"/>
      <c r="H10" s="51"/>
      <c r="I10" s="438"/>
    </row>
    <row r="11" spans="1:9" s="18" customFormat="1" hidden="1" x14ac:dyDescent="0.25">
      <c r="A11" s="50" t="s">
        <v>6</v>
      </c>
      <c r="B11" s="51"/>
      <c r="C11" s="158">
        <f>B11*6.5%+B11</f>
        <v>0</v>
      </c>
      <c r="D11" s="158"/>
      <c r="E11" s="158"/>
      <c r="F11" s="158"/>
      <c r="G11" s="158"/>
      <c r="H11" s="51">
        <f>C11*5%+C11</f>
        <v>0</v>
      </c>
      <c r="I11" s="438"/>
    </row>
    <row r="12" spans="1:9" s="18" customFormat="1" hidden="1" x14ac:dyDescent="0.25">
      <c r="A12" s="50" t="s">
        <v>7</v>
      </c>
      <c r="B12" s="51"/>
      <c r="C12" s="158">
        <f>B12*6.5%+B12</f>
        <v>0</v>
      </c>
      <c r="D12" s="158"/>
      <c r="E12" s="158"/>
      <c r="F12" s="158"/>
      <c r="G12" s="158"/>
      <c r="H12" s="51">
        <f>C12*5%+C12</f>
        <v>0</v>
      </c>
      <c r="I12" s="438"/>
    </row>
    <row r="13" spans="1:9" s="18" customFormat="1" hidden="1" x14ac:dyDescent="0.25">
      <c r="A13" s="50" t="s">
        <v>53</v>
      </c>
      <c r="B13" s="51"/>
      <c r="C13" s="158">
        <f>B13*6.5%+B13</f>
        <v>0</v>
      </c>
      <c r="D13" s="158"/>
      <c r="E13" s="158"/>
      <c r="F13" s="158"/>
      <c r="G13" s="158"/>
      <c r="H13" s="51">
        <f>C13*5%+C13</f>
        <v>0</v>
      </c>
      <c r="I13" s="438"/>
    </row>
    <row r="14" spans="1:9" s="18" customFormat="1" hidden="1" x14ac:dyDescent="0.25">
      <c r="A14" s="50" t="s">
        <v>9</v>
      </c>
      <c r="B14" s="51"/>
      <c r="C14" s="158">
        <f>B14*6.5%+B14</f>
        <v>0</v>
      </c>
      <c r="D14" s="158"/>
      <c r="E14" s="158"/>
      <c r="F14" s="158"/>
      <c r="G14" s="158"/>
      <c r="H14" s="51">
        <f>C14*5%+C14</f>
        <v>0</v>
      </c>
      <c r="I14" s="438"/>
    </row>
    <row r="15" spans="1:9" s="18" customFormat="1" hidden="1" x14ac:dyDescent="0.25">
      <c r="A15" s="50"/>
      <c r="B15" s="51"/>
      <c r="C15" s="51"/>
      <c r="D15" s="51"/>
      <c r="E15" s="51"/>
      <c r="F15" s="51"/>
      <c r="G15" s="51"/>
      <c r="H15" s="51"/>
      <c r="I15" s="438"/>
    </row>
    <row r="16" spans="1:9" s="134" customFormat="1" hidden="1" x14ac:dyDescent="0.25">
      <c r="A16" s="60"/>
      <c r="B16" s="44">
        <f>SUM(B11:B14)</f>
        <v>0</v>
      </c>
      <c r="C16" s="44">
        <f>SUM(C11:C14)</f>
        <v>0</v>
      </c>
      <c r="D16" s="44"/>
      <c r="E16" s="44"/>
      <c r="F16" s="44"/>
      <c r="G16" s="44"/>
      <c r="H16" s="44">
        <f>SUM(H11:H14)</f>
        <v>0</v>
      </c>
      <c r="I16" s="439"/>
    </row>
    <row r="17" spans="1:9" hidden="1" x14ac:dyDescent="0.25">
      <c r="A17" s="60"/>
      <c r="B17" s="44"/>
      <c r="C17" s="44"/>
      <c r="D17" s="44"/>
      <c r="E17" s="44"/>
      <c r="F17" s="44"/>
      <c r="G17" s="44"/>
      <c r="H17" s="44"/>
      <c r="I17" s="438"/>
    </row>
    <row r="18" spans="1:9" s="18" customFormat="1" ht="0.75" hidden="1" customHeight="1" x14ac:dyDescent="0.25">
      <c r="A18" s="50" t="s">
        <v>316</v>
      </c>
      <c r="B18" s="171"/>
      <c r="C18" s="172"/>
      <c r="D18" s="172"/>
      <c r="E18" s="172"/>
      <c r="F18" s="172"/>
      <c r="G18" s="172"/>
      <c r="H18" s="172"/>
      <c r="I18" s="438"/>
    </row>
    <row r="19" spans="1:9" s="18" customFormat="1" ht="2.25" hidden="1" customHeight="1" x14ac:dyDescent="0.25">
      <c r="A19" s="50"/>
      <c r="B19" s="51"/>
      <c r="C19" s="51"/>
      <c r="D19" s="51"/>
      <c r="E19" s="51"/>
      <c r="F19" s="51"/>
      <c r="G19" s="51"/>
      <c r="H19" s="51"/>
      <c r="I19" s="438"/>
    </row>
    <row r="20" spans="1:9" s="134" customFormat="1" ht="2.25" hidden="1" customHeight="1" x14ac:dyDescent="0.25">
      <c r="A20" s="60"/>
      <c r="B20" s="44">
        <f>SUM(B18)</f>
        <v>0</v>
      </c>
      <c r="C20" s="44">
        <f>SUM(C18)</f>
        <v>0</v>
      </c>
      <c r="D20" s="44"/>
      <c r="E20" s="44"/>
      <c r="F20" s="44"/>
      <c r="G20" s="44"/>
      <c r="H20" s="44">
        <f>SUM(H18)</f>
        <v>0</v>
      </c>
      <c r="I20" s="439"/>
    </row>
    <row r="21" spans="1:9" s="18" customFormat="1" x14ac:dyDescent="0.25">
      <c r="A21" s="50"/>
      <c r="B21" s="51"/>
      <c r="C21" s="51"/>
      <c r="D21" s="51"/>
      <c r="E21" s="51"/>
      <c r="F21" s="51"/>
      <c r="G21" s="51"/>
      <c r="H21" s="51"/>
      <c r="I21" s="438"/>
    </row>
    <row r="22" spans="1:9" s="18" customFormat="1" x14ac:dyDescent="0.25">
      <c r="A22" s="88" t="s">
        <v>353</v>
      </c>
      <c r="B22" s="91">
        <v>50000</v>
      </c>
      <c r="C22" s="165">
        <f>B22*6.25%+B22</f>
        <v>53125</v>
      </c>
      <c r="D22" s="165"/>
      <c r="E22" s="165">
        <f>C22-D22</f>
        <v>53125</v>
      </c>
      <c r="F22" s="165">
        <f>-E22</f>
        <v>-53125</v>
      </c>
      <c r="G22" s="165">
        <f>C22+F22</f>
        <v>0</v>
      </c>
      <c r="H22" s="165">
        <f>C22*6.25%+C22</f>
        <v>56445.3125</v>
      </c>
      <c r="I22" s="440">
        <f>H22*6.25%+H22</f>
        <v>59973.14453125</v>
      </c>
    </row>
    <row r="23" spans="1:9" s="134" customFormat="1" x14ac:dyDescent="0.25">
      <c r="A23" s="343" t="s">
        <v>42</v>
      </c>
      <c r="B23" s="44">
        <f>SUM(B22:B22)</f>
        <v>50000</v>
      </c>
      <c r="C23" s="44">
        <f>SUM(C22:C22)</f>
        <v>53125</v>
      </c>
      <c r="D23" s="44">
        <f t="shared" ref="D23:E23" si="0">SUM(D22:D22)</f>
        <v>0</v>
      </c>
      <c r="E23" s="44">
        <f t="shared" si="0"/>
        <v>53125</v>
      </c>
      <c r="F23" s="44">
        <f t="shared" ref="F23:G23" si="1">SUM(F22:F22)</f>
        <v>-53125</v>
      </c>
      <c r="G23" s="44">
        <f t="shared" si="1"/>
        <v>0</v>
      </c>
      <c r="H23" s="44">
        <f>SUM(H22:H22)</f>
        <v>56445.3125</v>
      </c>
      <c r="I23" s="400">
        <f>SUM(I22:I22)</f>
        <v>59973.14453125</v>
      </c>
    </row>
    <row r="24" spans="1:9" s="134" customFormat="1" x14ac:dyDescent="0.25">
      <c r="A24" s="343"/>
      <c r="B24" s="44"/>
      <c r="C24" s="44"/>
      <c r="D24" s="44"/>
      <c r="E24" s="44"/>
      <c r="F24" s="44"/>
      <c r="G24" s="44"/>
      <c r="H24" s="44"/>
      <c r="I24" s="441"/>
    </row>
    <row r="25" spans="1:9" ht="15.75" thickBot="1" x14ac:dyDescent="0.3">
      <c r="A25" s="390" t="s">
        <v>48</v>
      </c>
      <c r="B25" s="391">
        <f>B9+B16+B20+B23</f>
        <v>50000</v>
      </c>
      <c r="C25" s="391">
        <f>C9+C16+C20+C23</f>
        <v>53125</v>
      </c>
      <c r="D25" s="391">
        <f t="shared" ref="D25:E25" si="2">D9+D16+D20+D23</f>
        <v>0</v>
      </c>
      <c r="E25" s="391">
        <f t="shared" si="2"/>
        <v>53125</v>
      </c>
      <c r="F25" s="391">
        <f t="shared" ref="F25:G25" si="3">F9+F16+F20+F23</f>
        <v>-53125</v>
      </c>
      <c r="G25" s="391">
        <f t="shared" si="3"/>
        <v>0</v>
      </c>
      <c r="H25" s="391">
        <f>H9+H16+H20+H23</f>
        <v>56445.3125</v>
      </c>
      <c r="I25" s="401">
        <f>I9+I16+I20+I23</f>
        <v>59973.14453125</v>
      </c>
    </row>
  </sheetData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&amp;A&amp;RPage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2"/>
  <sheetViews>
    <sheetView topLeftCell="A13" workbookViewId="0">
      <selection activeCell="E28" sqref="E28"/>
    </sheetView>
  </sheetViews>
  <sheetFormatPr defaultColWidth="8.85546875" defaultRowHeight="15" x14ac:dyDescent="0.25"/>
  <cols>
    <col min="1" max="1" width="4.28515625" style="19" customWidth="1"/>
    <col min="2" max="2" width="4" style="19" customWidth="1"/>
    <col min="3" max="3" width="5.28515625" style="97" customWidth="1"/>
    <col min="4" max="4" width="43" style="19" customWidth="1"/>
    <col min="5" max="6" width="17.7109375" style="63" customWidth="1"/>
    <col min="7" max="7" width="15.28515625" style="63" customWidth="1"/>
    <col min="8" max="8" width="12.42578125" bestFit="1" customWidth="1"/>
  </cols>
  <sheetData>
    <row r="1" spans="1:10" s="2" customFormat="1" ht="19.5" thickBot="1" x14ac:dyDescent="0.35">
      <c r="A1" s="15" t="s">
        <v>320</v>
      </c>
      <c r="B1" s="15"/>
      <c r="C1" s="142"/>
      <c r="D1" s="15"/>
      <c r="E1" s="105"/>
      <c r="F1" s="105"/>
      <c r="G1" s="105"/>
    </row>
    <row r="2" spans="1:10" s="2" customFormat="1" ht="35.25" customHeight="1" x14ac:dyDescent="0.25">
      <c r="A2" s="905" t="s">
        <v>47</v>
      </c>
      <c r="B2" s="905"/>
      <c r="C2" s="905"/>
      <c r="D2" s="62" t="s">
        <v>39</v>
      </c>
      <c r="E2" s="157" t="s">
        <v>250</v>
      </c>
      <c r="F2" s="153" t="s">
        <v>283</v>
      </c>
      <c r="G2" s="153" t="s">
        <v>308</v>
      </c>
    </row>
    <row r="3" spans="1:10" s="32" customFormat="1" x14ac:dyDescent="0.25">
      <c r="A3" s="48">
        <v>153</v>
      </c>
      <c r="B3" s="48">
        <v>30</v>
      </c>
      <c r="C3" s="95">
        <v>2</v>
      </c>
      <c r="D3" s="50" t="s">
        <v>2</v>
      </c>
      <c r="E3" s="51"/>
      <c r="F3" s="158">
        <f>E3*6.5%+E3</f>
        <v>0</v>
      </c>
      <c r="G3" s="51">
        <f>F3*5%+F3</f>
        <v>0</v>
      </c>
    </row>
    <row r="4" spans="1:10" s="32" customFormat="1" x14ac:dyDescent="0.25">
      <c r="A4" s="48">
        <v>153</v>
      </c>
      <c r="B4" s="48">
        <v>30</v>
      </c>
      <c r="C4" s="95">
        <v>6</v>
      </c>
      <c r="D4" s="50" t="s">
        <v>3</v>
      </c>
      <c r="E4" s="51"/>
      <c r="F4" s="158">
        <f>E4*6.5%+E4</f>
        <v>0</v>
      </c>
      <c r="G4" s="51">
        <f>F4*5%+F4</f>
        <v>0</v>
      </c>
    </row>
    <row r="5" spans="1:10" s="32" customFormat="1" x14ac:dyDescent="0.25">
      <c r="A5" s="48">
        <v>153</v>
      </c>
      <c r="B5" s="48">
        <v>30</v>
      </c>
      <c r="C5" s="95">
        <v>15</v>
      </c>
      <c r="D5" s="50" t="s">
        <v>4</v>
      </c>
      <c r="E5" s="51"/>
      <c r="F5" s="158">
        <f>E5*6.5%+E5</f>
        <v>0</v>
      </c>
      <c r="G5" s="51">
        <f>F5*5%+F5</f>
        <v>0</v>
      </c>
    </row>
    <row r="6" spans="1:10" s="32" customFormat="1" x14ac:dyDescent="0.25">
      <c r="A6" s="48">
        <v>153</v>
      </c>
      <c r="B6" s="48">
        <v>30</v>
      </c>
      <c r="C6" s="95">
        <v>30</v>
      </c>
      <c r="D6" s="50" t="s">
        <v>5</v>
      </c>
      <c r="E6" s="51"/>
      <c r="F6" s="158">
        <f>E6*6.5%+E6</f>
        <v>0</v>
      </c>
      <c r="G6" s="51">
        <f>F6*5%+F6</f>
        <v>0</v>
      </c>
    </row>
    <row r="7" spans="1:10" s="32" customFormat="1" x14ac:dyDescent="0.25">
      <c r="A7" s="48"/>
      <c r="B7" s="48"/>
      <c r="C7" s="95"/>
      <c r="D7" s="50"/>
      <c r="E7" s="51"/>
      <c r="F7" s="51"/>
      <c r="G7" s="51"/>
    </row>
    <row r="8" spans="1:10" s="137" customFormat="1" x14ac:dyDescent="0.25">
      <c r="A8" s="60" t="s">
        <v>40</v>
      </c>
      <c r="B8" s="60"/>
      <c r="C8" s="139"/>
      <c r="D8" s="60"/>
      <c r="E8" s="44">
        <f>SUM(E3:E6)</f>
        <v>0</v>
      </c>
      <c r="F8" s="44">
        <f>SUM(F3:F6)</f>
        <v>0</v>
      </c>
      <c r="G8" s="44">
        <f>SUM(G3:G6)</f>
        <v>0</v>
      </c>
    </row>
    <row r="9" spans="1:10" s="32" customFormat="1" x14ac:dyDescent="0.25">
      <c r="A9" s="50"/>
      <c r="B9" s="50"/>
      <c r="C9" s="96"/>
      <c r="D9" s="50"/>
      <c r="E9" s="51"/>
      <c r="F9" s="51"/>
      <c r="G9" s="51"/>
    </row>
    <row r="10" spans="1:10" s="32" customFormat="1" x14ac:dyDescent="0.25">
      <c r="A10" s="48">
        <v>153</v>
      </c>
      <c r="B10" s="48">
        <v>31</v>
      </c>
      <c r="C10" s="95">
        <v>18</v>
      </c>
      <c r="D10" s="50" t="s">
        <v>6</v>
      </c>
      <c r="E10" s="51"/>
      <c r="F10" s="158">
        <f>E10*6.5%+E10</f>
        <v>0</v>
      </c>
      <c r="G10" s="51">
        <f>F10*5%+F10</f>
        <v>0</v>
      </c>
    </row>
    <row r="11" spans="1:10" s="32" customFormat="1" x14ac:dyDescent="0.25">
      <c r="A11" s="48">
        <v>153</v>
      </c>
      <c r="B11" s="48">
        <v>31</v>
      </c>
      <c r="C11" s="95">
        <v>22</v>
      </c>
      <c r="D11" s="50" t="s">
        <v>7</v>
      </c>
      <c r="E11" s="51"/>
      <c r="F11" s="158">
        <f>E11*6.5%+E11</f>
        <v>0</v>
      </c>
      <c r="G11" s="51">
        <f>F11*5%+F11</f>
        <v>0</v>
      </c>
    </row>
    <row r="12" spans="1:10" s="32" customFormat="1" x14ac:dyDescent="0.25">
      <c r="A12" s="48">
        <v>153</v>
      </c>
      <c r="B12" s="48">
        <v>31</v>
      </c>
      <c r="C12" s="95">
        <v>25</v>
      </c>
      <c r="D12" s="50" t="s">
        <v>53</v>
      </c>
      <c r="E12" s="51"/>
      <c r="F12" s="158">
        <f>E12*6.5%+E12</f>
        <v>0</v>
      </c>
      <c r="G12" s="51">
        <f>F12*5%+F12</f>
        <v>0</v>
      </c>
    </row>
    <row r="13" spans="1:10" s="32" customFormat="1" x14ac:dyDescent="0.25">
      <c r="A13" s="48">
        <v>153</v>
      </c>
      <c r="B13" s="48">
        <v>31</v>
      </c>
      <c r="C13" s="95">
        <v>70</v>
      </c>
      <c r="D13" s="50" t="s">
        <v>9</v>
      </c>
      <c r="E13" s="51"/>
      <c r="F13" s="158">
        <f>E13*6.5%+E13</f>
        <v>0</v>
      </c>
      <c r="G13" s="51">
        <f>F13*5%+F13</f>
        <v>0</v>
      </c>
    </row>
    <row r="14" spans="1:10" s="2" customFormat="1" x14ac:dyDescent="0.25">
      <c r="A14" s="48"/>
      <c r="B14" s="48"/>
      <c r="C14" s="95"/>
      <c r="D14" s="50"/>
      <c r="E14" s="51"/>
      <c r="F14" s="51"/>
      <c r="G14" s="51"/>
    </row>
    <row r="15" spans="1:10" s="137" customFormat="1" x14ac:dyDescent="0.25">
      <c r="A15" s="60" t="s">
        <v>41</v>
      </c>
      <c r="B15" s="60"/>
      <c r="C15" s="139"/>
      <c r="D15" s="60"/>
      <c r="E15" s="44">
        <f>SUM(E10:E13)</f>
        <v>0</v>
      </c>
      <c r="F15" s="44">
        <f>SUM(F10:F13)</f>
        <v>0</v>
      </c>
      <c r="G15" s="44">
        <f>SUM(G10:G13)</f>
        <v>0</v>
      </c>
      <c r="H15" s="138"/>
    </row>
    <row r="16" spans="1:10" s="72" customFormat="1" x14ac:dyDescent="0.25">
      <c r="A16" s="60"/>
      <c r="B16" s="60"/>
      <c r="C16" s="139"/>
      <c r="D16" s="60"/>
      <c r="E16" s="44"/>
      <c r="F16" s="44"/>
      <c r="G16" s="44"/>
      <c r="H16" s="82"/>
      <c r="I16" s="83"/>
      <c r="J16" s="82"/>
    </row>
    <row r="17" spans="1:8" s="32" customFormat="1" x14ac:dyDescent="0.25">
      <c r="A17" s="48">
        <v>153</v>
      </c>
      <c r="B17" s="48">
        <v>38</v>
      </c>
      <c r="C17" s="95">
        <v>613</v>
      </c>
      <c r="D17" s="50" t="s">
        <v>316</v>
      </c>
      <c r="E17" s="51"/>
      <c r="F17" s="158">
        <f>E17*6.5%+E17</f>
        <v>0</v>
      </c>
      <c r="G17" s="51">
        <f>F17*5%+F17</f>
        <v>0</v>
      </c>
    </row>
    <row r="18" spans="1:8" s="18" customFormat="1" x14ac:dyDescent="0.25">
      <c r="A18" s="48"/>
      <c r="B18" s="48"/>
      <c r="C18" s="95"/>
      <c r="D18" s="50"/>
      <c r="E18" s="51"/>
      <c r="F18" s="51"/>
      <c r="G18" s="51"/>
    </row>
    <row r="19" spans="1:8" s="137" customFormat="1" x14ac:dyDescent="0.25">
      <c r="A19" s="60" t="s">
        <v>43</v>
      </c>
      <c r="B19" s="60"/>
      <c r="C19" s="139"/>
      <c r="D19" s="60"/>
      <c r="E19" s="44">
        <f>SUM(E17)</f>
        <v>0</v>
      </c>
      <c r="F19" s="44">
        <f>SUM(F17)</f>
        <v>0</v>
      </c>
      <c r="G19" s="44">
        <f>SUM(G17)</f>
        <v>0</v>
      </c>
    </row>
    <row r="20" spans="1:8" s="18" customFormat="1" x14ac:dyDescent="0.25">
      <c r="A20" s="50"/>
      <c r="B20" s="50"/>
      <c r="C20" s="96"/>
      <c r="D20" s="50"/>
      <c r="E20" s="51"/>
      <c r="F20" s="51"/>
      <c r="G20" s="51"/>
    </row>
    <row r="21" spans="1:8" s="32" customFormat="1" x14ac:dyDescent="0.25">
      <c r="A21" s="48">
        <v>153</v>
      </c>
      <c r="B21" s="48">
        <v>44</v>
      </c>
      <c r="C21" s="95">
        <v>232</v>
      </c>
      <c r="D21" s="1" t="s">
        <v>312</v>
      </c>
      <c r="E21" s="51">
        <v>0</v>
      </c>
      <c r="F21" s="51">
        <f>E21*5.9%+E21</f>
        <v>0</v>
      </c>
      <c r="G21" s="51">
        <f>F21*5.6%+F21</f>
        <v>0</v>
      </c>
    </row>
    <row r="22" spans="1:8" s="32" customFormat="1" x14ac:dyDescent="0.25">
      <c r="A22" s="48">
        <v>153</v>
      </c>
      <c r="B22" s="48">
        <v>44</v>
      </c>
      <c r="C22" s="95">
        <v>270</v>
      </c>
      <c r="D22" s="1" t="s">
        <v>24</v>
      </c>
      <c r="E22" s="51">
        <v>0</v>
      </c>
      <c r="F22" s="51">
        <f t="shared" ref="F22:F30" si="0">E22*5.9%+E22</f>
        <v>0</v>
      </c>
      <c r="G22" s="51">
        <f t="shared" ref="G22:G30" si="1">F22*5.6%+F22</f>
        <v>0</v>
      </c>
    </row>
    <row r="23" spans="1:8" s="32" customFormat="1" x14ac:dyDescent="0.25">
      <c r="A23" s="48">
        <v>153</v>
      </c>
      <c r="B23" s="48">
        <v>44</v>
      </c>
      <c r="C23" s="95">
        <v>290</v>
      </c>
      <c r="D23" s="1" t="s">
        <v>313</v>
      </c>
      <c r="E23" s="51">
        <v>0</v>
      </c>
      <c r="F23" s="51">
        <f t="shared" si="0"/>
        <v>0</v>
      </c>
      <c r="G23" s="51">
        <f t="shared" si="1"/>
        <v>0</v>
      </c>
    </row>
    <row r="24" spans="1:8" s="32" customFormat="1" x14ac:dyDescent="0.25">
      <c r="A24" s="48">
        <v>153</v>
      </c>
      <c r="B24" s="48">
        <v>44</v>
      </c>
      <c r="C24" s="95">
        <v>360</v>
      </c>
      <c r="D24" s="1" t="s">
        <v>59</v>
      </c>
      <c r="E24" s="51">
        <v>0</v>
      </c>
      <c r="F24" s="51">
        <f t="shared" si="0"/>
        <v>0</v>
      </c>
      <c r="G24" s="51">
        <f t="shared" si="1"/>
        <v>0</v>
      </c>
    </row>
    <row r="25" spans="1:8" s="32" customFormat="1" x14ac:dyDescent="0.25">
      <c r="A25" s="48">
        <v>153</v>
      </c>
      <c r="B25" s="48">
        <v>44</v>
      </c>
      <c r="C25" s="95">
        <v>380</v>
      </c>
      <c r="D25" s="1" t="s">
        <v>314</v>
      </c>
      <c r="E25" s="51">
        <v>0</v>
      </c>
      <c r="F25" s="51">
        <f t="shared" si="0"/>
        <v>0</v>
      </c>
      <c r="G25" s="51">
        <f t="shared" si="1"/>
        <v>0</v>
      </c>
    </row>
    <row r="26" spans="1:8" s="136" customFormat="1" x14ac:dyDescent="0.25">
      <c r="A26" s="48">
        <v>153</v>
      </c>
      <c r="B26" s="94">
        <v>44</v>
      </c>
      <c r="C26" s="90">
        <v>386</v>
      </c>
      <c r="D26" s="1" t="s">
        <v>10</v>
      </c>
      <c r="E26" s="91">
        <v>0</v>
      </c>
      <c r="F26" s="51">
        <f t="shared" si="0"/>
        <v>0</v>
      </c>
      <c r="G26" s="51">
        <f t="shared" si="1"/>
        <v>0</v>
      </c>
    </row>
    <row r="27" spans="1:8" s="136" customFormat="1" x14ac:dyDescent="0.25">
      <c r="A27" s="48">
        <v>153</v>
      </c>
      <c r="B27" s="48">
        <v>44</v>
      </c>
      <c r="C27" s="90">
        <v>409</v>
      </c>
      <c r="D27" s="1" t="s">
        <v>127</v>
      </c>
      <c r="E27" s="91">
        <v>0</v>
      </c>
      <c r="F27" s="51">
        <f t="shared" si="0"/>
        <v>0</v>
      </c>
      <c r="G27" s="51">
        <f t="shared" si="1"/>
        <v>0</v>
      </c>
    </row>
    <row r="28" spans="1:8" s="136" customFormat="1" x14ac:dyDescent="0.25">
      <c r="A28" s="48">
        <v>153</v>
      </c>
      <c r="B28" s="94">
        <v>44</v>
      </c>
      <c r="C28" s="90">
        <v>557</v>
      </c>
      <c r="D28" s="1" t="s">
        <v>34</v>
      </c>
      <c r="E28" s="91">
        <v>0</v>
      </c>
      <c r="F28" s="51">
        <f t="shared" si="0"/>
        <v>0</v>
      </c>
      <c r="G28" s="51">
        <f t="shared" si="1"/>
        <v>0</v>
      </c>
    </row>
    <row r="29" spans="1:8" s="136" customFormat="1" x14ac:dyDescent="0.25">
      <c r="A29" s="48">
        <v>153</v>
      </c>
      <c r="B29" s="94">
        <v>44</v>
      </c>
      <c r="C29" s="90">
        <v>560</v>
      </c>
      <c r="D29" s="1" t="s">
        <v>315</v>
      </c>
      <c r="E29" s="91">
        <v>0</v>
      </c>
      <c r="F29" s="51">
        <f t="shared" si="0"/>
        <v>0</v>
      </c>
      <c r="G29" s="51">
        <f t="shared" si="1"/>
        <v>0</v>
      </c>
    </row>
    <row r="30" spans="1:8" s="18" customFormat="1" x14ac:dyDescent="0.25">
      <c r="A30" s="94"/>
      <c r="B30" s="94"/>
      <c r="C30" s="88"/>
      <c r="D30" s="88" t="s">
        <v>346</v>
      </c>
      <c r="E30" s="51">
        <v>0</v>
      </c>
      <c r="F30" s="51">
        <f t="shared" si="0"/>
        <v>0</v>
      </c>
      <c r="G30" s="51">
        <f t="shared" si="1"/>
        <v>0</v>
      </c>
      <c r="H30" s="13"/>
    </row>
    <row r="31" spans="1:8" s="70" customFormat="1" x14ac:dyDescent="0.25">
      <c r="A31" s="139" t="s">
        <v>42</v>
      </c>
      <c r="B31" s="139"/>
      <c r="C31" s="139"/>
      <c r="D31" s="139"/>
      <c r="E31" s="44">
        <f>SUM(E21:E30)</f>
        <v>0</v>
      </c>
      <c r="F31" s="44">
        <f>SUM(F21:F30)</f>
        <v>0</v>
      </c>
      <c r="G31" s="44">
        <f>SUM(G21:G30)</f>
        <v>0</v>
      </c>
    </row>
    <row r="32" spans="1:8" x14ac:dyDescent="0.25">
      <c r="A32" s="139" t="s">
        <v>48</v>
      </c>
      <c r="B32" s="96"/>
      <c r="C32" s="96"/>
      <c r="D32" s="96"/>
      <c r="E32" s="89">
        <f>E8+E15+E19+E31</f>
        <v>0</v>
      </c>
      <c r="F32" s="89">
        <f>F8+F15+F19+F31</f>
        <v>0</v>
      </c>
      <c r="G32" s="89">
        <f>G8+G15+G19+G31</f>
        <v>0</v>
      </c>
    </row>
  </sheetData>
  <mergeCells count="1">
    <mergeCell ref="A2:C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I28"/>
  <sheetViews>
    <sheetView view="pageBreakPreview" zoomScale="60" zoomScaleNormal="100" workbookViewId="0">
      <selection activeCell="F19" sqref="F19"/>
    </sheetView>
  </sheetViews>
  <sheetFormatPr defaultColWidth="9.28515625" defaultRowHeight="15" x14ac:dyDescent="0.25"/>
  <cols>
    <col min="1" max="1" width="30" style="19" customWidth="1"/>
    <col min="2" max="2" width="15.7109375" style="63" hidden="1" customWidth="1"/>
    <col min="3" max="7" width="17.7109375" style="63" customWidth="1"/>
    <col min="8" max="8" width="11.85546875" style="63" customWidth="1"/>
    <col min="9" max="9" width="11.140625" style="19" customWidth="1"/>
    <col min="10" max="16384" width="9.28515625" style="19"/>
  </cols>
  <sheetData>
    <row r="1" spans="1:9" ht="18.75" x14ac:dyDescent="0.3">
      <c r="A1" s="15" t="s">
        <v>521</v>
      </c>
      <c r="B1" s="105"/>
      <c r="C1" s="105"/>
      <c r="D1" s="105"/>
      <c r="E1" s="105"/>
      <c r="F1" s="105"/>
      <c r="G1" s="105"/>
      <c r="H1" s="105"/>
    </row>
    <row r="2" spans="1:9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ht="39.75" thickBot="1" x14ac:dyDescent="0.3">
      <c r="A3" s="394" t="s">
        <v>39</v>
      </c>
      <c r="B3" s="206" t="s">
        <v>393</v>
      </c>
      <c r="C3" s="198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198" t="s">
        <v>556</v>
      </c>
      <c r="I3" s="427" t="s">
        <v>644</v>
      </c>
    </row>
    <row r="4" spans="1:9" hidden="1" x14ac:dyDescent="0.25">
      <c r="A4" s="50" t="s">
        <v>2</v>
      </c>
      <c r="B4" s="51"/>
      <c r="C4" s="158">
        <f>B4*6.5%+B4</f>
        <v>0</v>
      </c>
      <c r="D4" s="239"/>
      <c r="E4" s="239"/>
      <c r="F4" s="239"/>
      <c r="G4" s="239"/>
      <c r="H4" s="177">
        <f>C4*5%+C4</f>
        <v>0</v>
      </c>
      <c r="I4" s="438"/>
    </row>
    <row r="5" spans="1:9" hidden="1" x14ac:dyDescent="0.25">
      <c r="A5" s="50" t="s">
        <v>3</v>
      </c>
      <c r="B5" s="51"/>
      <c r="C5" s="158">
        <f>B5*6.5%+B5</f>
        <v>0</v>
      </c>
      <c r="D5" s="239"/>
      <c r="E5" s="239"/>
      <c r="F5" s="239"/>
      <c r="G5" s="239"/>
      <c r="H5" s="177">
        <f>C5*5%+C5</f>
        <v>0</v>
      </c>
      <c r="I5" s="438"/>
    </row>
    <row r="6" spans="1:9" hidden="1" x14ac:dyDescent="0.25">
      <c r="A6" s="50" t="s">
        <v>4</v>
      </c>
      <c r="B6" s="51"/>
      <c r="C6" s="158">
        <f>B6*6.5%+B6</f>
        <v>0</v>
      </c>
      <c r="D6" s="239"/>
      <c r="E6" s="239"/>
      <c r="F6" s="239"/>
      <c r="G6" s="239"/>
      <c r="H6" s="177">
        <f>C6*5%+C6</f>
        <v>0</v>
      </c>
      <c r="I6" s="438"/>
    </row>
    <row r="7" spans="1:9" hidden="1" x14ac:dyDescent="0.25">
      <c r="A7" s="50" t="s">
        <v>5</v>
      </c>
      <c r="B7" s="51"/>
      <c r="C7" s="158">
        <f>B7*6.5%+B7</f>
        <v>0</v>
      </c>
      <c r="D7" s="239"/>
      <c r="E7" s="239"/>
      <c r="F7" s="239"/>
      <c r="G7" s="239"/>
      <c r="H7" s="177">
        <f>C7*5%+C7</f>
        <v>0</v>
      </c>
      <c r="I7" s="438"/>
    </row>
    <row r="8" spans="1:9" hidden="1" x14ac:dyDescent="0.25">
      <c r="A8" s="50"/>
      <c r="B8" s="51"/>
      <c r="C8" s="51"/>
      <c r="D8" s="177"/>
      <c r="E8" s="177"/>
      <c r="F8" s="177"/>
      <c r="G8" s="177"/>
      <c r="H8" s="177"/>
      <c r="I8" s="438"/>
    </row>
    <row r="9" spans="1:9" hidden="1" x14ac:dyDescent="0.25">
      <c r="A9" s="60"/>
      <c r="B9" s="44">
        <f>SUM(B4:B7)</f>
        <v>0</v>
      </c>
      <c r="C9" s="44">
        <f>SUM(C4:C7)</f>
        <v>0</v>
      </c>
      <c r="D9" s="178"/>
      <c r="E9" s="178"/>
      <c r="F9" s="178"/>
      <c r="G9" s="178"/>
      <c r="H9" s="178">
        <f>SUM(H4:H7)</f>
        <v>0</v>
      </c>
      <c r="I9" s="438"/>
    </row>
    <row r="10" spans="1:9" hidden="1" x14ac:dyDescent="0.25">
      <c r="A10" s="50"/>
      <c r="B10" s="51"/>
      <c r="C10" s="51"/>
      <c r="D10" s="177"/>
      <c r="E10" s="177"/>
      <c r="F10" s="177"/>
      <c r="G10" s="177"/>
      <c r="H10" s="177"/>
      <c r="I10" s="438"/>
    </row>
    <row r="11" spans="1:9" hidden="1" x14ac:dyDescent="0.25">
      <c r="A11" s="50" t="s">
        <v>6</v>
      </c>
      <c r="B11" s="51"/>
      <c r="C11" s="158">
        <f>B11*6.5%+B11</f>
        <v>0</v>
      </c>
      <c r="D11" s="239"/>
      <c r="E11" s="239"/>
      <c r="F11" s="239"/>
      <c r="G11" s="239"/>
      <c r="H11" s="177">
        <f>C11*5%+C11</f>
        <v>0</v>
      </c>
      <c r="I11" s="438"/>
    </row>
    <row r="12" spans="1:9" hidden="1" x14ac:dyDescent="0.25">
      <c r="A12" s="50" t="s">
        <v>7</v>
      </c>
      <c r="B12" s="51"/>
      <c r="C12" s="158">
        <f>B12*6.5%+B12</f>
        <v>0</v>
      </c>
      <c r="D12" s="239"/>
      <c r="E12" s="239"/>
      <c r="F12" s="239"/>
      <c r="G12" s="239"/>
      <c r="H12" s="177">
        <f>C12*5%+C12</f>
        <v>0</v>
      </c>
      <c r="I12" s="438"/>
    </row>
    <row r="13" spans="1:9" hidden="1" x14ac:dyDescent="0.25">
      <c r="A13" s="50" t="s">
        <v>53</v>
      </c>
      <c r="B13" s="51"/>
      <c r="C13" s="158">
        <f>B13*6.5%+B13</f>
        <v>0</v>
      </c>
      <c r="D13" s="239"/>
      <c r="E13" s="239"/>
      <c r="F13" s="239"/>
      <c r="G13" s="239"/>
      <c r="H13" s="177">
        <f>C13*5%+C13</f>
        <v>0</v>
      </c>
      <c r="I13" s="438"/>
    </row>
    <row r="14" spans="1:9" hidden="1" x14ac:dyDescent="0.25">
      <c r="A14" s="50" t="s">
        <v>9</v>
      </c>
      <c r="B14" s="51"/>
      <c r="C14" s="158">
        <f>B14*6.5%+B14</f>
        <v>0</v>
      </c>
      <c r="D14" s="239"/>
      <c r="E14" s="239"/>
      <c r="F14" s="239"/>
      <c r="G14" s="239"/>
      <c r="H14" s="177">
        <f>C14*5%+C14</f>
        <v>0</v>
      </c>
      <c r="I14" s="438"/>
    </row>
    <row r="15" spans="1:9" hidden="1" x14ac:dyDescent="0.25">
      <c r="A15" s="50"/>
      <c r="B15" s="51"/>
      <c r="C15" s="51"/>
      <c r="D15" s="177"/>
      <c r="E15" s="177"/>
      <c r="F15" s="177"/>
      <c r="G15" s="177"/>
      <c r="H15" s="177"/>
      <c r="I15" s="438"/>
    </row>
    <row r="16" spans="1:9" hidden="1" x14ac:dyDescent="0.25">
      <c r="A16" s="60"/>
      <c r="B16" s="44">
        <f>SUM(B11:B14)</f>
        <v>0</v>
      </c>
      <c r="C16" s="44">
        <f>SUM(C11:C14)</f>
        <v>0</v>
      </c>
      <c r="D16" s="178"/>
      <c r="E16" s="178"/>
      <c r="F16" s="178"/>
      <c r="G16" s="178"/>
      <c r="H16" s="178">
        <f>SUM(H11:H14)</f>
        <v>0</v>
      </c>
      <c r="I16" s="438"/>
    </row>
    <row r="17" spans="1:9" x14ac:dyDescent="0.25">
      <c r="A17" s="60"/>
      <c r="B17" s="44"/>
      <c r="C17" s="44"/>
      <c r="D17" s="178"/>
      <c r="E17" s="178"/>
      <c r="F17" s="178"/>
      <c r="G17" s="178"/>
      <c r="H17" s="178"/>
      <c r="I17" s="438"/>
    </row>
    <row r="18" spans="1:9" x14ac:dyDescent="0.25">
      <c r="A18" s="50" t="s">
        <v>316</v>
      </c>
      <c r="B18" s="165">
        <v>30000</v>
      </c>
      <c r="C18" s="165">
        <f>B18*6.25%+B18</f>
        <v>31875</v>
      </c>
      <c r="D18" s="165"/>
      <c r="E18" s="165">
        <f>C18-D18</f>
        <v>31875</v>
      </c>
      <c r="F18" s="165">
        <f>-E18</f>
        <v>-31875</v>
      </c>
      <c r="G18" s="165">
        <f>C18+F18</f>
        <v>0</v>
      </c>
      <c r="H18" s="165">
        <f>C18*6.25%+C18</f>
        <v>33867.1875</v>
      </c>
      <c r="I18" s="440">
        <f>H18*6.25%+H18</f>
        <v>35983.88671875</v>
      </c>
    </row>
    <row r="19" spans="1:9" x14ac:dyDescent="0.25">
      <c r="A19" s="342" t="s">
        <v>43</v>
      </c>
      <c r="B19" s="44">
        <f>SUM(B18:B18)</f>
        <v>30000</v>
      </c>
      <c r="C19" s="44">
        <f>SUM(C18:C18)</f>
        <v>31875</v>
      </c>
      <c r="D19" s="44">
        <f t="shared" ref="D19:E19" si="0">SUM(D18:D18)</f>
        <v>0</v>
      </c>
      <c r="E19" s="44">
        <f t="shared" si="0"/>
        <v>31875</v>
      </c>
      <c r="F19" s="44">
        <f t="shared" ref="F19:G19" si="1">SUM(F18:F18)</f>
        <v>-31875</v>
      </c>
      <c r="G19" s="44">
        <f t="shared" si="1"/>
        <v>0</v>
      </c>
      <c r="H19" s="44">
        <f>SUM(H18:H18)</f>
        <v>33867.1875</v>
      </c>
      <c r="I19" s="400">
        <f>SUM(I18:I18)</f>
        <v>35983.88671875</v>
      </c>
    </row>
    <row r="20" spans="1:9" hidden="1" x14ac:dyDescent="0.25">
      <c r="A20" s="398"/>
      <c r="B20" s="51"/>
      <c r="C20" s="51"/>
      <c r="D20" s="177"/>
      <c r="E20" s="177"/>
      <c r="F20" s="177"/>
      <c r="G20" s="177"/>
      <c r="H20" s="177"/>
      <c r="I20" s="441">
        <f t="shared" ref="I20:I26" si="2">H20*5.4%+H20</f>
        <v>0</v>
      </c>
    </row>
    <row r="21" spans="1:9" hidden="1" x14ac:dyDescent="0.25">
      <c r="A21" s="341">
        <v>154</v>
      </c>
      <c r="B21" s="165"/>
      <c r="C21" s="165">
        <f>B21*6.2%+B21</f>
        <v>0</v>
      </c>
      <c r="D21" s="214"/>
      <c r="E21" s="214"/>
      <c r="F21" s="214"/>
      <c r="G21" s="214"/>
      <c r="H21" s="214">
        <f>C21*5.9%+C21</f>
        <v>0</v>
      </c>
      <c r="I21" s="441">
        <f t="shared" si="2"/>
        <v>0</v>
      </c>
    </row>
    <row r="22" spans="1:9" hidden="1" x14ac:dyDescent="0.25">
      <c r="A22" s="341">
        <v>154</v>
      </c>
      <c r="B22" s="165"/>
      <c r="C22" s="165">
        <f>B22*6.2%+B22</f>
        <v>0</v>
      </c>
      <c r="D22" s="214"/>
      <c r="E22" s="214"/>
      <c r="F22" s="214"/>
      <c r="G22" s="214"/>
      <c r="H22" s="214">
        <f>C22*5.9%+C22</f>
        <v>0</v>
      </c>
      <c r="I22" s="441">
        <f t="shared" si="2"/>
        <v>0</v>
      </c>
    </row>
    <row r="23" spans="1:9" hidden="1" x14ac:dyDescent="0.25">
      <c r="A23" s="396">
        <v>153</v>
      </c>
      <c r="B23" s="165"/>
      <c r="C23" s="165">
        <f>B23*6.2%+B23</f>
        <v>0</v>
      </c>
      <c r="D23" s="214"/>
      <c r="E23" s="214"/>
      <c r="F23" s="214"/>
      <c r="G23" s="214"/>
      <c r="H23" s="214">
        <f>C23*5.9%+C23</f>
        <v>0</v>
      </c>
      <c r="I23" s="441">
        <f t="shared" si="2"/>
        <v>0</v>
      </c>
    </row>
    <row r="24" spans="1:9" hidden="1" x14ac:dyDescent="0.25">
      <c r="A24" s="396"/>
      <c r="B24" s="165"/>
      <c r="C24" s="165"/>
      <c r="D24" s="214"/>
      <c r="E24" s="214"/>
      <c r="F24" s="214"/>
      <c r="G24" s="214"/>
      <c r="H24" s="214"/>
      <c r="I24" s="441">
        <f t="shared" si="2"/>
        <v>0</v>
      </c>
    </row>
    <row r="25" spans="1:9" hidden="1" x14ac:dyDescent="0.25">
      <c r="A25" s="389"/>
      <c r="B25" s="51">
        <v>0</v>
      </c>
      <c r="C25" s="51">
        <f>B25*5.9%+B25</f>
        <v>0</v>
      </c>
      <c r="D25" s="177"/>
      <c r="E25" s="177"/>
      <c r="F25" s="177"/>
      <c r="G25" s="177"/>
      <c r="H25" s="177">
        <f>C25*5.6%+C25</f>
        <v>0</v>
      </c>
      <c r="I25" s="441">
        <f t="shared" si="2"/>
        <v>0</v>
      </c>
    </row>
    <row r="26" spans="1:9" hidden="1" x14ac:dyDescent="0.25">
      <c r="A26" s="343" t="s">
        <v>42</v>
      </c>
      <c r="B26" s="44">
        <f>SUM(B21:B25)</f>
        <v>0</v>
      </c>
      <c r="C26" s="44">
        <f>SUM(C21:C25)</f>
        <v>0</v>
      </c>
      <c r="D26" s="178"/>
      <c r="E26" s="178"/>
      <c r="F26" s="178"/>
      <c r="G26" s="178"/>
      <c r="H26" s="178">
        <f>SUM(H21:H25)</f>
        <v>0</v>
      </c>
      <c r="I26" s="441">
        <f t="shared" si="2"/>
        <v>0</v>
      </c>
    </row>
    <row r="27" spans="1:9" x14ac:dyDescent="0.25">
      <c r="A27" s="343"/>
      <c r="B27" s="44"/>
      <c r="C27" s="44"/>
      <c r="D27" s="178"/>
      <c r="E27" s="178"/>
      <c r="F27" s="178"/>
      <c r="G27" s="178"/>
      <c r="H27" s="178"/>
      <c r="I27" s="441"/>
    </row>
    <row r="28" spans="1:9" ht="15.75" thickBot="1" x14ac:dyDescent="0.3">
      <c r="A28" s="390" t="s">
        <v>48</v>
      </c>
      <c r="B28" s="391">
        <f>B9+B16+B19+B26</f>
        <v>30000</v>
      </c>
      <c r="C28" s="391">
        <f>C9+C16+C19+C26</f>
        <v>31875</v>
      </c>
      <c r="D28" s="391">
        <f t="shared" ref="D28:E28" si="3">D9+D16+D19+D26</f>
        <v>0</v>
      </c>
      <c r="E28" s="391">
        <f t="shared" si="3"/>
        <v>31875</v>
      </c>
      <c r="F28" s="391">
        <f t="shared" ref="F28:G28" si="4">F9+F16+F19+F26</f>
        <v>-31875</v>
      </c>
      <c r="G28" s="391">
        <f t="shared" si="4"/>
        <v>0</v>
      </c>
      <c r="H28" s="391">
        <f>H9+H16+H19+H26</f>
        <v>33867.1875</v>
      </c>
      <c r="I28" s="401">
        <f>I9+I16+I19+I26</f>
        <v>35983.88671875</v>
      </c>
    </row>
  </sheetData>
  <pageMargins left="0.7" right="0.7" top="0.75" bottom="0.75" header="0.3" footer="0.3"/>
  <pageSetup scale="59" orientation="portrait" r:id="rId1"/>
  <headerFooter>
    <oddFooter>&amp;A&amp;RPage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I25"/>
  <sheetViews>
    <sheetView view="pageBreakPreview" zoomScale="60" zoomScaleNormal="100" workbookViewId="0">
      <selection activeCell="F19" sqref="F19"/>
    </sheetView>
  </sheetViews>
  <sheetFormatPr defaultColWidth="9.28515625" defaultRowHeight="15" x14ac:dyDescent="0.25"/>
  <cols>
    <col min="1" max="1" width="26" style="19" customWidth="1"/>
    <col min="2" max="2" width="13.7109375" style="63" hidden="1" customWidth="1"/>
    <col min="3" max="7" width="15" style="63" customWidth="1"/>
    <col min="8" max="8" width="14" style="63" customWidth="1"/>
    <col min="9" max="9" width="12.85546875" style="19" customWidth="1"/>
    <col min="10" max="16384" width="9.28515625" style="19"/>
  </cols>
  <sheetData>
    <row r="1" spans="1:9" ht="18.75" x14ac:dyDescent="0.3">
      <c r="A1" s="15" t="s">
        <v>522</v>
      </c>
      <c r="B1" s="105"/>
      <c r="C1" s="105"/>
      <c r="D1" s="105"/>
      <c r="E1" s="105"/>
      <c r="F1" s="105"/>
      <c r="G1" s="105"/>
      <c r="H1" s="105"/>
    </row>
    <row r="2" spans="1:9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ht="43.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8"/>
    </row>
    <row r="5" spans="1:9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8"/>
    </row>
    <row r="6" spans="1:9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8"/>
    </row>
    <row r="7" spans="1:9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8"/>
    </row>
    <row r="8" spans="1:9" hidden="1" x14ac:dyDescent="0.25">
      <c r="A8" s="50"/>
      <c r="B8" s="51"/>
      <c r="C8" s="177"/>
      <c r="D8" s="177"/>
      <c r="E8" s="177"/>
      <c r="F8" s="177"/>
      <c r="G8" s="177"/>
      <c r="H8" s="51"/>
      <c r="I8" s="438"/>
    </row>
    <row r="9" spans="1:9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8"/>
    </row>
    <row r="10" spans="1:9" hidden="1" x14ac:dyDescent="0.25">
      <c r="A10" s="50"/>
      <c r="B10" s="51"/>
      <c r="C10" s="177"/>
      <c r="D10" s="177"/>
      <c r="E10" s="177"/>
      <c r="F10" s="177"/>
      <c r="G10" s="177"/>
      <c r="H10" s="51"/>
      <c r="I10" s="438"/>
    </row>
    <row r="11" spans="1:9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8"/>
    </row>
    <row r="12" spans="1:9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8"/>
    </row>
    <row r="13" spans="1:9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8"/>
    </row>
    <row r="14" spans="1:9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8"/>
    </row>
    <row r="15" spans="1:9" hidden="1" x14ac:dyDescent="0.25">
      <c r="A15" s="50"/>
      <c r="B15" s="51"/>
      <c r="C15" s="177"/>
      <c r="D15" s="177"/>
      <c r="E15" s="177"/>
      <c r="F15" s="177"/>
      <c r="G15" s="177"/>
      <c r="H15" s="51"/>
      <c r="I15" s="438"/>
    </row>
    <row r="16" spans="1:9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8"/>
    </row>
    <row r="17" spans="1:9" x14ac:dyDescent="0.25">
      <c r="A17" s="60"/>
      <c r="B17" s="44"/>
      <c r="C17" s="178"/>
      <c r="D17" s="178"/>
      <c r="E17" s="178"/>
      <c r="F17" s="178"/>
      <c r="G17" s="178"/>
      <c r="H17" s="44"/>
      <c r="I17" s="438"/>
    </row>
    <row r="18" spans="1:9" x14ac:dyDescent="0.25">
      <c r="A18" s="50" t="s">
        <v>316</v>
      </c>
      <c r="B18" s="165">
        <v>100000</v>
      </c>
      <c r="C18" s="165">
        <f>B18*6.25%+B18</f>
        <v>106250</v>
      </c>
      <c r="D18" s="165"/>
      <c r="E18" s="165">
        <f>C18-D18</f>
        <v>106250</v>
      </c>
      <c r="F18" s="165">
        <f>-E18</f>
        <v>-106250</v>
      </c>
      <c r="G18" s="165">
        <f>C18+F18</f>
        <v>0</v>
      </c>
      <c r="H18" s="165">
        <f>C18*6.25%+C18</f>
        <v>112890.625</v>
      </c>
      <c r="I18" s="440">
        <f>H18*6.25%+H18</f>
        <v>119946.2890625</v>
      </c>
    </row>
    <row r="19" spans="1:9" x14ac:dyDescent="0.25">
      <c r="A19" s="342" t="s">
        <v>43</v>
      </c>
      <c r="B19" s="44">
        <f>SUM(B18:B18)</f>
        <v>100000</v>
      </c>
      <c r="C19" s="178">
        <f>SUM(C18:C18)</f>
        <v>106250</v>
      </c>
      <c r="D19" s="178">
        <f t="shared" ref="D19:E19" si="0">SUM(D18:D18)</f>
        <v>0</v>
      </c>
      <c r="E19" s="178">
        <f t="shared" si="0"/>
        <v>106250</v>
      </c>
      <c r="F19" s="178">
        <f t="shared" ref="F19:G19" si="1">SUM(F18:F18)</f>
        <v>-106250</v>
      </c>
      <c r="G19" s="178">
        <f t="shared" si="1"/>
        <v>0</v>
      </c>
      <c r="H19" s="178">
        <f>SUM(H18:H18)</f>
        <v>112890.625</v>
      </c>
      <c r="I19" s="400">
        <f>SUM(I18:I18)</f>
        <v>119946.2890625</v>
      </c>
    </row>
    <row r="20" spans="1:9" hidden="1" x14ac:dyDescent="0.25">
      <c r="A20" s="398"/>
      <c r="B20" s="51"/>
      <c r="C20" s="177"/>
      <c r="D20" s="177"/>
      <c r="E20" s="177"/>
      <c r="F20" s="177"/>
      <c r="G20" s="177"/>
      <c r="H20" s="51"/>
      <c r="I20" s="441">
        <f>H20*5.4%+H20</f>
        <v>0</v>
      </c>
    </row>
    <row r="21" spans="1:9" hidden="1" x14ac:dyDescent="0.25">
      <c r="A21" s="341">
        <v>154</v>
      </c>
      <c r="B21" s="165"/>
      <c r="C21" s="214">
        <f>B21*6.2%+B21</f>
        <v>0</v>
      </c>
      <c r="D21" s="214"/>
      <c r="E21" s="214"/>
      <c r="F21" s="214"/>
      <c r="G21" s="214"/>
      <c r="H21" s="165">
        <f>C21*5.9%+C21</f>
        <v>0</v>
      </c>
      <c r="I21" s="441">
        <f>H21*5.4%+H21</f>
        <v>0</v>
      </c>
    </row>
    <row r="22" spans="1:9" hidden="1" x14ac:dyDescent="0.25">
      <c r="A22" s="341">
        <v>154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41">
        <f>H22*5.4%+H22</f>
        <v>0</v>
      </c>
    </row>
    <row r="23" spans="1:9" hidden="1" x14ac:dyDescent="0.25">
      <c r="A23" s="343" t="s">
        <v>42</v>
      </c>
      <c r="B23" s="44">
        <f>SUM(B21:B22)</f>
        <v>0</v>
      </c>
      <c r="C23" s="178">
        <f>SUM(C21:C22)</f>
        <v>0</v>
      </c>
      <c r="D23" s="178"/>
      <c r="E23" s="178"/>
      <c r="F23" s="178"/>
      <c r="G23" s="178"/>
      <c r="H23" s="44">
        <f>SUM(H21:H22)</f>
        <v>0</v>
      </c>
      <c r="I23" s="441">
        <f>H23*5.4%+H23</f>
        <v>0</v>
      </c>
    </row>
    <row r="24" spans="1:9" x14ac:dyDescent="0.25">
      <c r="A24" s="343"/>
      <c r="B24" s="44"/>
      <c r="C24" s="178"/>
      <c r="D24" s="178"/>
      <c r="E24" s="178"/>
      <c r="F24" s="178"/>
      <c r="G24" s="178"/>
      <c r="H24" s="44"/>
      <c r="I24" s="441"/>
    </row>
    <row r="25" spans="1:9" ht="15.75" thickBot="1" x14ac:dyDescent="0.3">
      <c r="A25" s="390" t="s">
        <v>48</v>
      </c>
      <c r="B25" s="391">
        <f>B9+B16+B19+B23</f>
        <v>100000</v>
      </c>
      <c r="C25" s="403">
        <f>C9+C16+C19+C23</f>
        <v>106250</v>
      </c>
      <c r="D25" s="403">
        <f t="shared" ref="D25:E25" si="2">D9+D16+D19+D23</f>
        <v>0</v>
      </c>
      <c r="E25" s="403">
        <f t="shared" si="2"/>
        <v>106250</v>
      </c>
      <c r="F25" s="403">
        <f t="shared" ref="F25:G25" si="3">F9+F16+F19+F23</f>
        <v>-106250</v>
      </c>
      <c r="G25" s="403">
        <f t="shared" si="3"/>
        <v>0</v>
      </c>
      <c r="H25" s="403">
        <f>H9+H16+H19+H23</f>
        <v>112890.625</v>
      </c>
      <c r="I25" s="401">
        <f>I9+I16+I19+I23</f>
        <v>119946.2890625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&amp;A&amp;RPage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I27"/>
  <sheetViews>
    <sheetView view="pageBreakPreview" zoomScale="60" zoomScaleNormal="100" workbookViewId="0">
      <selection activeCell="F20" sqref="F20"/>
    </sheetView>
  </sheetViews>
  <sheetFormatPr defaultColWidth="9.28515625" defaultRowHeight="15" x14ac:dyDescent="0.25"/>
  <cols>
    <col min="1" max="1" width="29.42578125" style="19" customWidth="1"/>
    <col min="2" max="2" width="15.28515625" style="63" hidden="1" customWidth="1"/>
    <col min="3" max="7" width="14.28515625" style="63" customWidth="1"/>
    <col min="8" max="8" width="15.28515625" style="63" customWidth="1"/>
    <col min="9" max="9" width="12.42578125" style="19" customWidth="1"/>
    <col min="10" max="16384" width="9.28515625" style="19"/>
  </cols>
  <sheetData>
    <row r="1" spans="1:9" ht="18.75" x14ac:dyDescent="0.3">
      <c r="A1" s="15" t="s">
        <v>523</v>
      </c>
      <c r="B1" s="105"/>
      <c r="C1" s="105"/>
      <c r="D1" s="105"/>
      <c r="E1" s="105"/>
      <c r="F1" s="105"/>
      <c r="G1" s="105"/>
      <c r="H1" s="105"/>
    </row>
    <row r="2" spans="1:9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ht="37.5" customHeight="1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395" t="s">
        <v>556</v>
      </c>
      <c r="I3" s="427" t="s">
        <v>644</v>
      </c>
    </row>
    <row r="4" spans="1:9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38"/>
    </row>
    <row r="5" spans="1:9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38"/>
    </row>
    <row r="6" spans="1:9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38"/>
    </row>
    <row r="7" spans="1:9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38"/>
    </row>
    <row r="8" spans="1:9" hidden="1" x14ac:dyDescent="0.25">
      <c r="A8" s="50"/>
      <c r="B8" s="51"/>
      <c r="C8" s="177"/>
      <c r="D8" s="177"/>
      <c r="E8" s="177"/>
      <c r="F8" s="177"/>
      <c r="G8" s="177"/>
      <c r="H8" s="51"/>
      <c r="I8" s="438"/>
    </row>
    <row r="9" spans="1:9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38"/>
    </row>
    <row r="10" spans="1:9" hidden="1" x14ac:dyDescent="0.25">
      <c r="A10" s="50"/>
      <c r="B10" s="51"/>
      <c r="C10" s="177"/>
      <c r="D10" s="177"/>
      <c r="E10" s="177"/>
      <c r="F10" s="177"/>
      <c r="G10" s="177"/>
      <c r="H10" s="51"/>
      <c r="I10" s="438"/>
    </row>
    <row r="11" spans="1:9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38"/>
    </row>
    <row r="12" spans="1:9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38"/>
    </row>
    <row r="13" spans="1:9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38"/>
    </row>
    <row r="14" spans="1:9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38"/>
    </row>
    <row r="15" spans="1:9" hidden="1" x14ac:dyDescent="0.25">
      <c r="A15" s="50"/>
      <c r="B15" s="51"/>
      <c r="C15" s="177"/>
      <c r="D15" s="177"/>
      <c r="E15" s="177"/>
      <c r="F15" s="177"/>
      <c r="G15" s="177"/>
      <c r="H15" s="51"/>
      <c r="I15" s="438"/>
    </row>
    <row r="16" spans="1:9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38"/>
    </row>
    <row r="17" spans="1:9" hidden="1" x14ac:dyDescent="0.25">
      <c r="A17" s="60"/>
      <c r="B17" s="44"/>
      <c r="C17" s="178"/>
      <c r="D17" s="178"/>
      <c r="E17" s="178"/>
      <c r="F17" s="178"/>
      <c r="G17" s="178"/>
      <c r="H17" s="44"/>
      <c r="I17" s="438"/>
    </row>
    <row r="18" spans="1:9" x14ac:dyDescent="0.25">
      <c r="A18" s="50" t="s">
        <v>316</v>
      </c>
      <c r="B18" s="165">
        <v>50000</v>
      </c>
      <c r="C18" s="165">
        <f t="shared" ref="C18:I19" si="0">B18*6.25%+B18</f>
        <v>53125</v>
      </c>
      <c r="D18" s="165"/>
      <c r="E18" s="165">
        <f>C18-D18</f>
        <v>53125</v>
      </c>
      <c r="F18" s="165">
        <f>-E18</f>
        <v>-53125</v>
      </c>
      <c r="G18" s="165">
        <f>C18+F18</f>
        <v>0</v>
      </c>
      <c r="H18" s="165">
        <f>C18*6.25%+C18</f>
        <v>56445.3125</v>
      </c>
      <c r="I18" s="440">
        <f t="shared" si="0"/>
        <v>59973.14453125</v>
      </c>
    </row>
    <row r="19" spans="1:9" x14ac:dyDescent="0.25">
      <c r="A19" s="50" t="s">
        <v>20</v>
      </c>
      <c r="B19" s="51">
        <v>20000</v>
      </c>
      <c r="C19" s="165">
        <f t="shared" si="0"/>
        <v>21250</v>
      </c>
      <c r="D19" s="165"/>
      <c r="E19" s="165">
        <f>C19-D19</f>
        <v>21250</v>
      </c>
      <c r="F19" s="165">
        <f>-E19</f>
        <v>-21250</v>
      </c>
      <c r="G19" s="165">
        <f>C19+F19</f>
        <v>0</v>
      </c>
      <c r="H19" s="165">
        <f>C19*6.25%+C19</f>
        <v>22578.125</v>
      </c>
      <c r="I19" s="440">
        <f t="shared" si="0"/>
        <v>23989.2578125</v>
      </c>
    </row>
    <row r="20" spans="1:9" x14ac:dyDescent="0.25">
      <c r="A20" s="342" t="s">
        <v>43</v>
      </c>
      <c r="B20" s="44">
        <f>SUM(B18:B19)</f>
        <v>70000</v>
      </c>
      <c r="C20" s="178">
        <f>SUM(C18:C19)</f>
        <v>74375</v>
      </c>
      <c r="D20" s="178">
        <f t="shared" ref="D20:E20" si="1">SUM(D18:D19)</f>
        <v>0</v>
      </c>
      <c r="E20" s="178">
        <f t="shared" si="1"/>
        <v>74375</v>
      </c>
      <c r="F20" s="178">
        <f t="shared" ref="F20:G20" si="2">SUM(F18:F19)</f>
        <v>-74375</v>
      </c>
      <c r="G20" s="178">
        <f t="shared" si="2"/>
        <v>0</v>
      </c>
      <c r="H20" s="178">
        <f>SUM(H18:H19)</f>
        <v>79023.4375</v>
      </c>
      <c r="I20" s="400">
        <f>SUM(I18:I19)</f>
        <v>83962.40234375</v>
      </c>
    </row>
    <row r="21" spans="1:9" hidden="1" x14ac:dyDescent="0.25">
      <c r="A21" s="398"/>
      <c r="B21" s="51"/>
      <c r="C21" s="177"/>
      <c r="D21" s="177"/>
      <c r="E21" s="177"/>
      <c r="F21" s="177"/>
      <c r="G21" s="177"/>
      <c r="H21" s="51"/>
      <c r="I21" s="441">
        <f t="shared" ref="I21:I26" si="3">H21*5.4%+H21</f>
        <v>0</v>
      </c>
    </row>
    <row r="22" spans="1:9" hidden="1" x14ac:dyDescent="0.25">
      <c r="A22" s="341">
        <v>155</v>
      </c>
      <c r="B22" s="165"/>
      <c r="C22" s="214">
        <f>B22*6.2%+B22</f>
        <v>0</v>
      </c>
      <c r="D22" s="214"/>
      <c r="E22" s="214"/>
      <c r="F22" s="214"/>
      <c r="G22" s="214"/>
      <c r="H22" s="165">
        <f>C22*5.9%+C22</f>
        <v>0</v>
      </c>
      <c r="I22" s="441">
        <f t="shared" si="3"/>
        <v>0</v>
      </c>
    </row>
    <row r="23" spans="1:9" hidden="1" x14ac:dyDescent="0.25">
      <c r="A23" s="341">
        <v>155</v>
      </c>
      <c r="B23" s="165"/>
      <c r="C23" s="214">
        <f>B23*6.2%+B23</f>
        <v>0</v>
      </c>
      <c r="D23" s="214"/>
      <c r="E23" s="214"/>
      <c r="F23" s="214"/>
      <c r="G23" s="214"/>
      <c r="H23" s="165">
        <f>C23*5.9%+C23</f>
        <v>0</v>
      </c>
      <c r="I23" s="441">
        <f t="shared" si="3"/>
        <v>0</v>
      </c>
    </row>
    <row r="24" spans="1:9" hidden="1" x14ac:dyDescent="0.25">
      <c r="A24" s="341"/>
      <c r="B24" s="165"/>
      <c r="C24" s="214">
        <f>B24*6.2%+B24</f>
        <v>0</v>
      </c>
      <c r="D24" s="214"/>
      <c r="E24" s="214"/>
      <c r="F24" s="214"/>
      <c r="G24" s="214"/>
      <c r="H24" s="165">
        <f>C24*5.9%+C24</f>
        <v>0</v>
      </c>
      <c r="I24" s="441">
        <f t="shared" si="3"/>
        <v>0</v>
      </c>
    </row>
    <row r="25" spans="1:9" x14ac:dyDescent="0.25">
      <c r="A25" s="341"/>
      <c r="B25" s="165"/>
      <c r="C25" s="214"/>
      <c r="D25" s="214"/>
      <c r="E25" s="214"/>
      <c r="F25" s="214"/>
      <c r="G25" s="214"/>
      <c r="H25" s="165"/>
      <c r="I25" s="441"/>
    </row>
    <row r="26" spans="1:9" hidden="1" x14ac:dyDescent="0.25">
      <c r="A26" s="343" t="s">
        <v>42</v>
      </c>
      <c r="B26" s="44">
        <f>SUM(B22:B24)</f>
        <v>0</v>
      </c>
      <c r="C26" s="178">
        <f>SUM(C22:C24)</f>
        <v>0</v>
      </c>
      <c r="D26" s="178"/>
      <c r="E26" s="178"/>
      <c r="F26" s="178"/>
      <c r="G26" s="178"/>
      <c r="H26" s="44">
        <f>SUM(H22:H24)</f>
        <v>0</v>
      </c>
      <c r="I26" s="441">
        <f t="shared" si="3"/>
        <v>0</v>
      </c>
    </row>
    <row r="27" spans="1:9" ht="15.75" thickBot="1" x14ac:dyDescent="0.3">
      <c r="A27" s="390" t="s">
        <v>48</v>
      </c>
      <c r="B27" s="391">
        <f>B9+B16+B20+B26</f>
        <v>70000</v>
      </c>
      <c r="C27" s="403">
        <f>C9+C16+C20+C26</f>
        <v>74375</v>
      </c>
      <c r="D27" s="403">
        <f t="shared" ref="D27:E27" si="4">D9+D16+D20+D26</f>
        <v>0</v>
      </c>
      <c r="E27" s="403">
        <f t="shared" si="4"/>
        <v>74375</v>
      </c>
      <c r="F27" s="403">
        <f t="shared" ref="F27:G27" si="5">F9+F16+F20+F26</f>
        <v>-74375</v>
      </c>
      <c r="G27" s="403">
        <f t="shared" si="5"/>
        <v>0</v>
      </c>
      <c r="H27" s="403">
        <f>H9+H16+H20+H26</f>
        <v>79023.4375</v>
      </c>
      <c r="I27" s="401">
        <f>I9+I16+I20+I26</f>
        <v>83962.40234375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view="pageBreakPreview" topLeftCell="A74" zoomScale="60" zoomScaleNormal="100" workbookViewId="0">
      <selection activeCell="E94" sqref="E94"/>
    </sheetView>
  </sheetViews>
  <sheetFormatPr defaultColWidth="8.85546875" defaultRowHeight="15.75" x14ac:dyDescent="0.25"/>
  <cols>
    <col min="1" max="1" width="47.42578125" style="512" customWidth="1"/>
    <col min="2" max="2" width="29.42578125" style="793" customWidth="1"/>
    <col min="3" max="3" width="30.140625" customWidth="1"/>
    <col min="4" max="4" width="18" style="704" customWidth="1"/>
    <col min="5" max="5" width="17" customWidth="1"/>
  </cols>
  <sheetData>
    <row r="1" spans="1:4" thickBot="1" x14ac:dyDescent="0.3">
      <c r="A1"/>
    </row>
    <row r="2" spans="1:4" ht="30.75" thickBot="1" x14ac:dyDescent="0.3">
      <c r="A2" s="591" t="s">
        <v>89</v>
      </c>
      <c r="B2" s="803" t="s">
        <v>798</v>
      </c>
      <c r="C2" s="719" t="s">
        <v>846</v>
      </c>
      <c r="D2" s="822" t="s">
        <v>795</v>
      </c>
    </row>
    <row r="3" spans="1:4" x14ac:dyDescent="0.25">
      <c r="A3" s="485"/>
      <c r="B3" s="701"/>
      <c r="C3" s="1"/>
      <c r="D3" s="815"/>
    </row>
    <row r="4" spans="1:4" x14ac:dyDescent="0.25">
      <c r="A4" s="490" t="s">
        <v>90</v>
      </c>
      <c r="B4" s="701">
        <f>SUMMARY!L4</f>
        <v>19596420.78125</v>
      </c>
      <c r="C4" s="701">
        <v>19796420.78125</v>
      </c>
      <c r="D4" s="815">
        <f>B4-C4</f>
        <v>-200000</v>
      </c>
    </row>
    <row r="5" spans="1:4" x14ac:dyDescent="0.25">
      <c r="A5" s="494" t="s">
        <v>91</v>
      </c>
      <c r="B5" s="701">
        <f>SUMMARY!L5</f>
        <v>41194285.262500003</v>
      </c>
      <c r="C5" s="701">
        <v>40288224.262500003</v>
      </c>
      <c r="D5" s="815">
        <f t="shared" ref="D5:D68" si="0">B5-C5</f>
        <v>906061</v>
      </c>
    </row>
    <row r="6" spans="1:4" x14ac:dyDescent="0.25">
      <c r="A6" s="494" t="s">
        <v>92</v>
      </c>
      <c r="B6" s="701">
        <f>SUMMARY!L6</f>
        <v>9425213.2874999996</v>
      </c>
      <c r="C6" s="701">
        <v>9115304.2874999996</v>
      </c>
      <c r="D6" s="815">
        <f t="shared" si="0"/>
        <v>309909</v>
      </c>
    </row>
    <row r="7" spans="1:4" x14ac:dyDescent="0.25">
      <c r="A7" s="490" t="s">
        <v>401</v>
      </c>
      <c r="B7" s="701">
        <f>SUMMARY!L7</f>
        <v>12942454.2775</v>
      </c>
      <c r="C7" s="701">
        <v>14119222.2775</v>
      </c>
      <c r="D7" s="815">
        <f t="shared" si="0"/>
        <v>-1176768</v>
      </c>
    </row>
    <row r="8" spans="1:4" x14ac:dyDescent="0.25">
      <c r="A8" s="490" t="s">
        <v>405</v>
      </c>
      <c r="B8" s="701">
        <f>SUMMARY!L8</f>
        <v>6475739.75</v>
      </c>
      <c r="C8" s="701">
        <v>6340923.75</v>
      </c>
      <c r="D8" s="815">
        <f t="shared" si="0"/>
        <v>134816</v>
      </c>
    </row>
    <row r="9" spans="1:4" x14ac:dyDescent="0.25">
      <c r="A9" s="490" t="s">
        <v>402</v>
      </c>
      <c r="B9" s="701">
        <f>SUMMARY!L9</f>
        <v>13432855.885</v>
      </c>
      <c r="C9" s="701">
        <v>12648515.885</v>
      </c>
      <c r="D9" s="815">
        <f t="shared" si="0"/>
        <v>784340</v>
      </c>
    </row>
    <row r="10" spans="1:4" x14ac:dyDescent="0.25">
      <c r="A10" s="490" t="s">
        <v>403</v>
      </c>
      <c r="B10" s="701">
        <f>SUMMARY!L10</f>
        <v>24163295.875</v>
      </c>
      <c r="C10" s="701">
        <v>58266063.875</v>
      </c>
      <c r="D10" s="815">
        <f t="shared" si="0"/>
        <v>-34102768</v>
      </c>
    </row>
    <row r="11" spans="1:4" x14ac:dyDescent="0.25">
      <c r="A11" s="490" t="s">
        <v>404</v>
      </c>
      <c r="B11" s="701">
        <f>SUMMARY!L11</f>
        <v>7451064.1875</v>
      </c>
      <c r="C11" s="701">
        <v>7190924.1875</v>
      </c>
      <c r="D11" s="815">
        <f t="shared" si="0"/>
        <v>260140</v>
      </c>
    </row>
    <row r="12" spans="1:4" x14ac:dyDescent="0.25">
      <c r="A12" s="490" t="s">
        <v>400</v>
      </c>
      <c r="B12" s="701">
        <f>SUMMARY!L12</f>
        <v>20171245</v>
      </c>
      <c r="C12" s="701">
        <v>18514905</v>
      </c>
      <c r="D12" s="815">
        <f t="shared" si="0"/>
        <v>1656340</v>
      </c>
    </row>
    <row r="13" spans="1:4" x14ac:dyDescent="0.25">
      <c r="A13" s="490" t="s">
        <v>93</v>
      </c>
      <c r="B13" s="701">
        <f>SUMMARY!L13</f>
        <v>2478991.58</v>
      </c>
      <c r="C13" s="701">
        <v>2536883.58</v>
      </c>
      <c r="D13" s="815">
        <f t="shared" si="0"/>
        <v>-57892</v>
      </c>
    </row>
    <row r="14" spans="1:4" x14ac:dyDescent="0.25">
      <c r="A14" s="490" t="s">
        <v>576</v>
      </c>
      <c r="B14" s="701">
        <f>SUMMARY!L14</f>
        <v>4361126.1875</v>
      </c>
      <c r="C14" s="701">
        <v>10211126.1875</v>
      </c>
      <c r="D14" s="815">
        <f t="shared" si="0"/>
        <v>-5850000</v>
      </c>
    </row>
    <row r="15" spans="1:4" x14ac:dyDescent="0.25">
      <c r="A15" s="490" t="s">
        <v>577</v>
      </c>
      <c r="B15" s="701">
        <f>SUMMARY!L15</f>
        <v>5918647.875</v>
      </c>
      <c r="C15" s="701">
        <v>7732147.875</v>
      </c>
      <c r="D15" s="815">
        <f t="shared" si="0"/>
        <v>-1813500</v>
      </c>
    </row>
    <row r="16" spans="1:4" x14ac:dyDescent="0.25">
      <c r="A16" s="490" t="s">
        <v>94</v>
      </c>
      <c r="B16" s="701">
        <f>SUMMARY!L16</f>
        <v>17384236.202500001</v>
      </c>
      <c r="C16" s="701">
        <v>26949018.202500001</v>
      </c>
      <c r="D16" s="815">
        <f t="shared" si="0"/>
        <v>-9564782</v>
      </c>
    </row>
    <row r="17" spans="1:4" x14ac:dyDescent="0.25">
      <c r="A17" s="490" t="s">
        <v>95</v>
      </c>
      <c r="B17" s="701">
        <f>SUMMARY!L17</f>
        <v>3240776.75</v>
      </c>
      <c r="C17" s="701">
        <v>4401814.75</v>
      </c>
      <c r="D17" s="815">
        <f t="shared" si="0"/>
        <v>-1161038</v>
      </c>
    </row>
    <row r="18" spans="1:4" x14ac:dyDescent="0.25">
      <c r="A18" s="490" t="s">
        <v>96</v>
      </c>
      <c r="B18" s="701">
        <f>SUMMARY!L18</f>
        <v>6730510.8250000002</v>
      </c>
      <c r="C18" s="701">
        <v>7713139.8250000002</v>
      </c>
      <c r="D18" s="815">
        <f t="shared" si="0"/>
        <v>-982629</v>
      </c>
    </row>
    <row r="19" spans="1:4" x14ac:dyDescent="0.25">
      <c r="A19" s="490" t="s">
        <v>161</v>
      </c>
      <c r="B19" s="701">
        <f>SUMMARY!L19</f>
        <v>8295875.0175000001</v>
      </c>
      <c r="C19" s="701">
        <v>7009697.0175000001</v>
      </c>
      <c r="D19" s="815">
        <f t="shared" si="0"/>
        <v>1286178</v>
      </c>
    </row>
    <row r="20" spans="1:4" x14ac:dyDescent="0.25">
      <c r="A20" s="490" t="s">
        <v>97</v>
      </c>
      <c r="B20" s="701">
        <f>SUMMARY!L20</f>
        <v>1001475626.95</v>
      </c>
      <c r="C20" s="701">
        <v>767531475.14999998</v>
      </c>
      <c r="D20" s="815">
        <f t="shared" si="0"/>
        <v>233944151.80000007</v>
      </c>
    </row>
    <row r="21" spans="1:4" x14ac:dyDescent="0.25">
      <c r="A21" s="490" t="s">
        <v>98</v>
      </c>
      <c r="B21" s="701">
        <f>SUMMARY!L21</f>
        <v>32924730.375</v>
      </c>
      <c r="C21" s="701">
        <v>35674730.375</v>
      </c>
      <c r="D21" s="815">
        <f t="shared" si="0"/>
        <v>-2750000</v>
      </c>
    </row>
    <row r="22" spans="1:4" x14ac:dyDescent="0.25">
      <c r="A22" s="490" t="s">
        <v>99</v>
      </c>
      <c r="B22" s="701">
        <f>SUMMARY!L22</f>
        <v>1798633.125</v>
      </c>
      <c r="C22" s="701">
        <v>2660906.125</v>
      </c>
      <c r="D22" s="815">
        <f t="shared" si="0"/>
        <v>-862273</v>
      </c>
    </row>
    <row r="23" spans="1:4" x14ac:dyDescent="0.25">
      <c r="A23" s="490" t="s">
        <v>100</v>
      </c>
      <c r="B23" s="701">
        <f>SUMMARY!L23</f>
        <v>6042123.6900000004</v>
      </c>
      <c r="C23" s="701">
        <v>7742399.6900000004</v>
      </c>
      <c r="D23" s="815">
        <f t="shared" si="0"/>
        <v>-1700276</v>
      </c>
    </row>
    <row r="24" spans="1:4" x14ac:dyDescent="0.25">
      <c r="A24" s="490" t="s">
        <v>101</v>
      </c>
      <c r="B24" s="701">
        <f>SUMMARY!L24</f>
        <v>13073162.515000001</v>
      </c>
      <c r="C24" s="701">
        <v>5994522.5149999997</v>
      </c>
      <c r="D24" s="815">
        <f t="shared" si="0"/>
        <v>7078640.0000000009</v>
      </c>
    </row>
    <row r="25" spans="1:4" x14ac:dyDescent="0.25">
      <c r="A25" s="490" t="s">
        <v>347</v>
      </c>
      <c r="B25" s="701">
        <f>SUMMARY!L25</f>
        <v>36515354.799999997</v>
      </c>
      <c r="C25" s="701">
        <v>36283386.799999997</v>
      </c>
      <c r="D25" s="815">
        <f t="shared" si="0"/>
        <v>231968</v>
      </c>
    </row>
    <row r="26" spans="1:4" x14ac:dyDescent="0.25">
      <c r="A26" s="490" t="s">
        <v>348</v>
      </c>
      <c r="B26" s="701">
        <f>SUMMARY!L26</f>
        <v>11723598.875</v>
      </c>
      <c r="C26" s="701">
        <v>12707601.875</v>
      </c>
      <c r="D26" s="815">
        <f t="shared" si="0"/>
        <v>-984003</v>
      </c>
    </row>
    <row r="27" spans="1:4" x14ac:dyDescent="0.25">
      <c r="A27" s="490" t="s">
        <v>349</v>
      </c>
      <c r="B27" s="701">
        <f>SUMMARY!L27</f>
        <v>17429322.6875</v>
      </c>
      <c r="C27" s="701">
        <v>10684077.6875</v>
      </c>
      <c r="D27" s="815">
        <f t="shared" si="0"/>
        <v>6745245</v>
      </c>
    </row>
    <row r="28" spans="1:4" x14ac:dyDescent="0.25">
      <c r="A28" s="490" t="s">
        <v>350</v>
      </c>
      <c r="B28" s="701">
        <f>SUMMARY!L28</f>
        <v>18351615</v>
      </c>
      <c r="C28" s="701">
        <v>18245583</v>
      </c>
      <c r="D28" s="815">
        <f t="shared" si="0"/>
        <v>106032</v>
      </c>
    </row>
    <row r="29" spans="1:4" x14ac:dyDescent="0.25">
      <c r="A29" s="490" t="s">
        <v>351</v>
      </c>
      <c r="B29" s="701">
        <f>SUMMARY!L29</f>
        <v>10159584</v>
      </c>
      <c r="C29" s="701">
        <v>7394044</v>
      </c>
      <c r="D29" s="815">
        <f t="shared" si="0"/>
        <v>2765540</v>
      </c>
    </row>
    <row r="30" spans="1:4" x14ac:dyDescent="0.25">
      <c r="A30" s="490" t="s">
        <v>102</v>
      </c>
      <c r="B30" s="701">
        <f>SUMMARY!L30</f>
        <v>35363588</v>
      </c>
      <c r="C30" s="701">
        <v>35712628</v>
      </c>
      <c r="D30" s="815">
        <f t="shared" si="0"/>
        <v>-349040</v>
      </c>
    </row>
    <row r="31" spans="1:4" x14ac:dyDescent="0.25">
      <c r="A31" s="490" t="s">
        <v>103</v>
      </c>
      <c r="B31" s="701">
        <f>SUMMARY!L31</f>
        <v>2687987.1</v>
      </c>
      <c r="C31" s="701">
        <v>2854158.6</v>
      </c>
      <c r="D31" s="815">
        <f t="shared" si="0"/>
        <v>-166171.5</v>
      </c>
    </row>
    <row r="32" spans="1:4" x14ac:dyDescent="0.25">
      <c r="A32" s="490" t="s">
        <v>104</v>
      </c>
      <c r="B32" s="701">
        <f>SUMMARY!L32</f>
        <v>22716393.465</v>
      </c>
      <c r="C32" s="701">
        <v>23521561.465</v>
      </c>
      <c r="D32" s="815">
        <f t="shared" si="0"/>
        <v>-805168</v>
      </c>
    </row>
    <row r="33" spans="1:4" x14ac:dyDescent="0.25">
      <c r="A33" s="490" t="s">
        <v>105</v>
      </c>
      <c r="B33" s="701">
        <f>SUMMARY!L33</f>
        <v>34076031.087499999</v>
      </c>
      <c r="C33" s="701">
        <v>33327029.087499999</v>
      </c>
      <c r="D33" s="815">
        <f t="shared" si="0"/>
        <v>749002</v>
      </c>
    </row>
    <row r="34" spans="1:4" x14ac:dyDescent="0.25">
      <c r="A34" s="490" t="s">
        <v>106</v>
      </c>
      <c r="B34" s="701">
        <f>SUMMARY!L34</f>
        <v>14503342.6975</v>
      </c>
      <c r="C34" s="701">
        <v>6878310.6974999998</v>
      </c>
      <c r="D34" s="815">
        <f t="shared" si="0"/>
        <v>7625032</v>
      </c>
    </row>
    <row r="35" spans="1:4" x14ac:dyDescent="0.25">
      <c r="A35" s="490" t="s">
        <v>168</v>
      </c>
      <c r="B35" s="701">
        <f>SUMMARY!L35</f>
        <v>23056431.675000001</v>
      </c>
      <c r="C35" s="701">
        <v>17518603.675000001</v>
      </c>
      <c r="D35" s="815">
        <f t="shared" si="0"/>
        <v>5537828</v>
      </c>
    </row>
    <row r="36" spans="1:4" x14ac:dyDescent="0.25">
      <c r="A36" s="490" t="s">
        <v>107</v>
      </c>
      <c r="B36" s="701">
        <f>SUMMARY!L36</f>
        <v>8724053.0875000004</v>
      </c>
      <c r="C36" s="701">
        <v>10443453.0875</v>
      </c>
      <c r="D36" s="815">
        <f t="shared" si="0"/>
        <v>-1719400</v>
      </c>
    </row>
    <row r="37" spans="1:4" x14ac:dyDescent="0.25">
      <c r="A37" s="490" t="s">
        <v>108</v>
      </c>
      <c r="B37" s="701">
        <f>SUMMARY!L37</f>
        <v>11498673.65</v>
      </c>
      <c r="C37" s="701">
        <v>11973932.65</v>
      </c>
      <c r="D37" s="815">
        <f t="shared" si="0"/>
        <v>-475259</v>
      </c>
    </row>
    <row r="38" spans="1:4" x14ac:dyDescent="0.25">
      <c r="A38" s="490" t="s">
        <v>109</v>
      </c>
      <c r="B38" s="701">
        <f>SUMMARY!L38</f>
        <v>753659.0625</v>
      </c>
      <c r="C38" s="701">
        <v>656662.0625</v>
      </c>
      <c r="D38" s="815">
        <f t="shared" si="0"/>
        <v>96997</v>
      </c>
    </row>
    <row r="39" spans="1:4" x14ac:dyDescent="0.25">
      <c r="A39" s="490" t="s">
        <v>625</v>
      </c>
      <c r="B39" s="701">
        <f>SUMMARY!L39</f>
        <v>1880382.3125</v>
      </c>
      <c r="C39" s="701">
        <v>4752864.3125</v>
      </c>
      <c r="D39" s="815">
        <f t="shared" si="0"/>
        <v>-2872482</v>
      </c>
    </row>
    <row r="40" spans="1:4" x14ac:dyDescent="0.25">
      <c r="A40" s="490" t="s">
        <v>110</v>
      </c>
      <c r="B40" s="701">
        <f>SUMMARY!L40</f>
        <v>1164077.125</v>
      </c>
      <c r="C40" s="701">
        <v>1589417.125</v>
      </c>
      <c r="D40" s="815">
        <f t="shared" si="0"/>
        <v>-425340</v>
      </c>
    </row>
    <row r="41" spans="1:4" x14ac:dyDescent="0.25">
      <c r="A41" s="490" t="s">
        <v>111</v>
      </c>
      <c r="B41" s="701">
        <f>SUMMARY!L41</f>
        <v>1355077.125</v>
      </c>
      <c r="C41" s="701">
        <v>1754417.125</v>
      </c>
      <c r="D41" s="815">
        <f t="shared" si="0"/>
        <v>-399340</v>
      </c>
    </row>
    <row r="42" spans="1:4" x14ac:dyDescent="0.25">
      <c r="A42" s="490" t="s">
        <v>112</v>
      </c>
      <c r="B42" s="701">
        <f>SUMMARY!L42</f>
        <v>2280745.375</v>
      </c>
      <c r="C42" s="701">
        <v>2631273.375</v>
      </c>
      <c r="D42" s="815">
        <f t="shared" si="0"/>
        <v>-350528</v>
      </c>
    </row>
    <row r="43" spans="1:4" x14ac:dyDescent="0.25">
      <c r="A43" s="494" t="s">
        <v>128</v>
      </c>
      <c r="B43" s="701">
        <f>SUMMARY!L43</f>
        <v>596649973.09350002</v>
      </c>
      <c r="C43" s="701">
        <v>481413000.04249996</v>
      </c>
      <c r="D43" s="815">
        <f t="shared" si="0"/>
        <v>115236973.05100006</v>
      </c>
    </row>
    <row r="44" spans="1:4" x14ac:dyDescent="0.25">
      <c r="A44" s="494" t="s">
        <v>321</v>
      </c>
      <c r="B44" s="701">
        <f>SUMMARY!L44</f>
        <v>127500</v>
      </c>
      <c r="C44" s="701">
        <v>127500</v>
      </c>
      <c r="D44" s="815">
        <f t="shared" si="0"/>
        <v>0</v>
      </c>
    </row>
    <row r="45" spans="1:4" x14ac:dyDescent="0.25">
      <c r="A45" s="494" t="s">
        <v>322</v>
      </c>
      <c r="B45" s="701">
        <f>SUMMARY!L45</f>
        <v>0</v>
      </c>
      <c r="C45" s="701">
        <v>106250</v>
      </c>
      <c r="D45" s="815">
        <f t="shared" si="0"/>
        <v>-106250</v>
      </c>
    </row>
    <row r="46" spans="1:4" x14ac:dyDescent="0.25">
      <c r="A46" s="494" t="s">
        <v>323</v>
      </c>
      <c r="B46" s="701">
        <f>SUMMARY!L46</f>
        <v>0</v>
      </c>
      <c r="C46" s="701">
        <v>119000</v>
      </c>
      <c r="D46" s="815">
        <f t="shared" si="0"/>
        <v>-119000</v>
      </c>
    </row>
    <row r="47" spans="1:4" x14ac:dyDescent="0.25">
      <c r="A47" s="494" t="s">
        <v>324</v>
      </c>
      <c r="B47" s="701">
        <f>SUMMARY!L47</f>
        <v>2550</v>
      </c>
      <c r="C47" s="701">
        <v>127500</v>
      </c>
      <c r="D47" s="815">
        <f t="shared" si="0"/>
        <v>-124950</v>
      </c>
    </row>
    <row r="48" spans="1:4" x14ac:dyDescent="0.25">
      <c r="A48" s="494" t="s">
        <v>325</v>
      </c>
      <c r="B48" s="701">
        <f>SUMMARY!L48</f>
        <v>0</v>
      </c>
      <c r="C48" s="701">
        <v>106250</v>
      </c>
      <c r="D48" s="815">
        <f t="shared" si="0"/>
        <v>-106250</v>
      </c>
    </row>
    <row r="49" spans="1:4" x14ac:dyDescent="0.25">
      <c r="A49" s="494" t="s">
        <v>326</v>
      </c>
      <c r="B49" s="701">
        <f>SUMMARY!L49</f>
        <v>0</v>
      </c>
      <c r="C49" s="701">
        <v>198687.5</v>
      </c>
      <c r="D49" s="815">
        <f t="shared" si="0"/>
        <v>-198687.5</v>
      </c>
    </row>
    <row r="50" spans="1:4" x14ac:dyDescent="0.25">
      <c r="A50" s="494" t="s">
        <v>328</v>
      </c>
      <c r="B50" s="701">
        <f>SUMMARY!L50</f>
        <v>0</v>
      </c>
      <c r="C50" s="701">
        <v>63750</v>
      </c>
      <c r="D50" s="815">
        <f t="shared" si="0"/>
        <v>-63750</v>
      </c>
    </row>
    <row r="51" spans="1:4" x14ac:dyDescent="0.25">
      <c r="A51" s="494" t="s">
        <v>329</v>
      </c>
      <c r="B51" s="701">
        <f>SUMMARY!L51</f>
        <v>0</v>
      </c>
      <c r="C51" s="701">
        <v>138125</v>
      </c>
      <c r="D51" s="815">
        <f t="shared" si="0"/>
        <v>-138125</v>
      </c>
    </row>
    <row r="52" spans="1:4" x14ac:dyDescent="0.25">
      <c r="A52" s="494" t="s">
        <v>330</v>
      </c>
      <c r="B52" s="701">
        <f>SUMMARY!L52</f>
        <v>0</v>
      </c>
      <c r="C52" s="701">
        <v>31875</v>
      </c>
      <c r="D52" s="815">
        <f t="shared" si="0"/>
        <v>-31875</v>
      </c>
    </row>
    <row r="53" spans="1:4" x14ac:dyDescent="0.25">
      <c r="A53" s="494" t="s">
        <v>331</v>
      </c>
      <c r="B53" s="701">
        <f>SUMMARY!L53</f>
        <v>0</v>
      </c>
      <c r="C53" s="701">
        <v>1350000</v>
      </c>
      <c r="D53" s="815">
        <f t="shared" si="0"/>
        <v>-1350000</v>
      </c>
    </row>
    <row r="54" spans="1:4" x14ac:dyDescent="0.25">
      <c r="A54" s="494" t="s">
        <v>332</v>
      </c>
      <c r="B54" s="701">
        <f>SUMMARY!L54</f>
        <v>0</v>
      </c>
      <c r="C54" s="701">
        <v>53125</v>
      </c>
      <c r="D54" s="815">
        <f t="shared" si="0"/>
        <v>-53125</v>
      </c>
    </row>
    <row r="55" spans="1:4" x14ac:dyDescent="0.25">
      <c r="A55" s="494" t="s">
        <v>333</v>
      </c>
      <c r="B55" s="701">
        <f>SUMMARY!L55</f>
        <v>0</v>
      </c>
      <c r="C55" s="701">
        <v>286875</v>
      </c>
      <c r="D55" s="815">
        <f t="shared" si="0"/>
        <v>-286875</v>
      </c>
    </row>
    <row r="56" spans="1:4" x14ac:dyDescent="0.25">
      <c r="A56" s="494" t="s">
        <v>334</v>
      </c>
      <c r="B56" s="701">
        <f>SUMMARY!L56</f>
        <v>0</v>
      </c>
      <c r="C56" s="701">
        <v>53125</v>
      </c>
      <c r="D56" s="815">
        <f t="shared" si="0"/>
        <v>-53125</v>
      </c>
    </row>
    <row r="57" spans="1:4" x14ac:dyDescent="0.25">
      <c r="A57" s="494" t="s">
        <v>335</v>
      </c>
      <c r="B57" s="701">
        <f>SUMMARY!L57</f>
        <v>0</v>
      </c>
      <c r="C57" s="701">
        <v>31875</v>
      </c>
      <c r="D57" s="815">
        <f t="shared" si="0"/>
        <v>-31875</v>
      </c>
    </row>
    <row r="58" spans="1:4" x14ac:dyDescent="0.25">
      <c r="A58" s="494" t="s">
        <v>336</v>
      </c>
      <c r="B58" s="701">
        <f>SUMMARY!L58</f>
        <v>0</v>
      </c>
      <c r="C58" s="701">
        <v>31875</v>
      </c>
      <c r="D58" s="815">
        <f t="shared" si="0"/>
        <v>-31875</v>
      </c>
    </row>
    <row r="59" spans="1:4" x14ac:dyDescent="0.25">
      <c r="A59" s="494" t="s">
        <v>337</v>
      </c>
      <c r="B59" s="701">
        <f>SUMMARY!L59</f>
        <v>0</v>
      </c>
      <c r="C59" s="701">
        <v>74375</v>
      </c>
      <c r="D59" s="815">
        <f t="shared" si="0"/>
        <v>-74375</v>
      </c>
    </row>
    <row r="60" spans="1:4" x14ac:dyDescent="0.25">
      <c r="A60" s="494" t="s">
        <v>338</v>
      </c>
      <c r="B60" s="701">
        <f>SUMMARY!L60</f>
        <v>0</v>
      </c>
      <c r="C60" s="701">
        <v>127500</v>
      </c>
      <c r="D60" s="815">
        <f t="shared" si="0"/>
        <v>-127500</v>
      </c>
    </row>
    <row r="61" spans="1:4" x14ac:dyDescent="0.25">
      <c r="A61" s="494" t="s">
        <v>339</v>
      </c>
      <c r="B61" s="701">
        <f>SUMMARY!L61</f>
        <v>0</v>
      </c>
      <c r="C61" s="701">
        <v>737800</v>
      </c>
      <c r="D61" s="815">
        <f t="shared" si="0"/>
        <v>-737800</v>
      </c>
    </row>
    <row r="62" spans="1:4" x14ac:dyDescent="0.25">
      <c r="A62" s="494" t="s">
        <v>340</v>
      </c>
      <c r="B62" s="701">
        <f>SUMMARY!L62</f>
        <v>21250</v>
      </c>
      <c r="C62" s="701">
        <v>1321250</v>
      </c>
      <c r="D62" s="815">
        <f t="shared" si="0"/>
        <v>-1300000</v>
      </c>
    </row>
    <row r="63" spans="1:4" x14ac:dyDescent="0.25">
      <c r="A63" s="494" t="s">
        <v>354</v>
      </c>
      <c r="B63" s="701">
        <f>SUMMARY!L63</f>
        <v>0</v>
      </c>
      <c r="C63" s="701">
        <v>53125</v>
      </c>
      <c r="D63" s="815">
        <f t="shared" si="0"/>
        <v>-53125</v>
      </c>
    </row>
    <row r="64" spans="1:4" x14ac:dyDescent="0.25">
      <c r="A64" s="494" t="s">
        <v>355</v>
      </c>
      <c r="B64" s="701">
        <f>SUMMARY!L64</f>
        <v>0</v>
      </c>
      <c r="C64" s="701">
        <v>53125</v>
      </c>
      <c r="D64" s="815">
        <f t="shared" si="0"/>
        <v>-53125</v>
      </c>
    </row>
    <row r="65" spans="1:4" x14ac:dyDescent="0.25">
      <c r="A65" s="494" t="s">
        <v>341</v>
      </c>
      <c r="B65" s="701">
        <f>SUMMARY!L65</f>
        <v>0</v>
      </c>
      <c r="C65" s="701">
        <v>127500</v>
      </c>
      <c r="D65" s="815">
        <f t="shared" si="0"/>
        <v>-127500</v>
      </c>
    </row>
    <row r="66" spans="1:4" x14ac:dyDescent="0.25">
      <c r="A66" s="494" t="s">
        <v>342</v>
      </c>
      <c r="B66" s="701">
        <f>SUMMARY!L66</f>
        <v>0</v>
      </c>
      <c r="C66" s="701">
        <v>53125</v>
      </c>
      <c r="D66" s="815">
        <f t="shared" si="0"/>
        <v>-53125</v>
      </c>
    </row>
    <row r="67" spans="1:4" x14ac:dyDescent="0.25">
      <c r="A67" s="494" t="s">
        <v>343</v>
      </c>
      <c r="B67" s="701">
        <f>SUMMARY!L67</f>
        <v>0</v>
      </c>
      <c r="C67" s="701">
        <v>170000</v>
      </c>
      <c r="D67" s="815">
        <f t="shared" si="0"/>
        <v>-170000</v>
      </c>
    </row>
    <row r="68" spans="1:4" x14ac:dyDescent="0.25">
      <c r="A68" s="494" t="s">
        <v>345</v>
      </c>
      <c r="B68" s="701">
        <f>SUMMARY!L68</f>
        <v>0</v>
      </c>
      <c r="C68" s="701">
        <v>53125</v>
      </c>
      <c r="D68" s="815">
        <f t="shared" si="0"/>
        <v>-53125</v>
      </c>
    </row>
    <row r="69" spans="1:4" x14ac:dyDescent="0.25">
      <c r="A69" s="497" t="s">
        <v>392</v>
      </c>
      <c r="B69" s="701">
        <f>SUMMARY!L69</f>
        <v>0</v>
      </c>
      <c r="C69" s="701">
        <v>31875</v>
      </c>
      <c r="D69" s="815">
        <f t="shared" ref="D69:D81" si="1">B69-C69</f>
        <v>-31875</v>
      </c>
    </row>
    <row r="70" spans="1:4" x14ac:dyDescent="0.25">
      <c r="A70" s="497" t="s">
        <v>391</v>
      </c>
      <c r="B70" s="701">
        <f>SUMMARY!L70</f>
        <v>0</v>
      </c>
      <c r="C70" s="701">
        <v>106250</v>
      </c>
      <c r="D70" s="815">
        <f t="shared" si="1"/>
        <v>-106250</v>
      </c>
    </row>
    <row r="71" spans="1:4" x14ac:dyDescent="0.25">
      <c r="A71" s="497" t="s">
        <v>389</v>
      </c>
      <c r="B71" s="701">
        <f>SUMMARY!L71</f>
        <v>0</v>
      </c>
      <c r="C71" s="701">
        <v>74375</v>
      </c>
      <c r="D71" s="815">
        <f t="shared" si="1"/>
        <v>-74375</v>
      </c>
    </row>
    <row r="72" spans="1:4" x14ac:dyDescent="0.25">
      <c r="A72" s="497" t="s">
        <v>390</v>
      </c>
      <c r="B72" s="701">
        <f>SUMMARY!L72</f>
        <v>0</v>
      </c>
      <c r="C72" s="701">
        <v>106250</v>
      </c>
      <c r="D72" s="815">
        <f t="shared" si="1"/>
        <v>-106250</v>
      </c>
    </row>
    <row r="73" spans="1:4" x14ac:dyDescent="0.25">
      <c r="A73" s="494" t="s">
        <v>228</v>
      </c>
      <c r="B73" s="701">
        <f>SUMMARY!L73</f>
        <v>88278443.148874998</v>
      </c>
      <c r="C73" s="701">
        <v>88278443.148874998</v>
      </c>
      <c r="D73" s="815">
        <f t="shared" si="1"/>
        <v>0</v>
      </c>
    </row>
    <row r="74" spans="1:4" x14ac:dyDescent="0.25">
      <c r="A74" s="494" t="s">
        <v>229</v>
      </c>
      <c r="B74" s="701">
        <f>SUMMARY!L74</f>
        <v>8574431.3199374992</v>
      </c>
      <c r="C74" s="701">
        <v>8574431.3199374992</v>
      </c>
      <c r="D74" s="815">
        <f t="shared" si="1"/>
        <v>0</v>
      </c>
    </row>
    <row r="75" spans="1:4" x14ac:dyDescent="0.25">
      <c r="A75" s="494" t="s">
        <v>230</v>
      </c>
      <c r="B75" s="701">
        <f>SUMMARY!L75</f>
        <v>2935022.375</v>
      </c>
      <c r="C75" s="701">
        <v>2935022.375</v>
      </c>
      <c r="D75" s="815">
        <f t="shared" si="1"/>
        <v>0</v>
      </c>
    </row>
    <row r="76" spans="1:4" x14ac:dyDescent="0.25">
      <c r="A76" s="494" t="s">
        <v>231</v>
      </c>
      <c r="B76" s="701">
        <f>SUMMARY!L76</f>
        <v>2141573.1512500001</v>
      </c>
      <c r="C76" s="701">
        <v>2141573.1512500001</v>
      </c>
      <c r="D76" s="815">
        <f t="shared" si="1"/>
        <v>0</v>
      </c>
    </row>
    <row r="77" spans="1:4" x14ac:dyDescent="0.25">
      <c r="A77" s="494" t="s">
        <v>232</v>
      </c>
      <c r="B77" s="701">
        <f>SUMMARY!L77</f>
        <v>24222376.375</v>
      </c>
      <c r="C77" s="701">
        <v>24222371.375</v>
      </c>
      <c r="D77" s="815">
        <f t="shared" si="1"/>
        <v>5</v>
      </c>
    </row>
    <row r="78" spans="1:4" x14ac:dyDescent="0.25">
      <c r="A78" s="494" t="s">
        <v>233</v>
      </c>
      <c r="B78" s="701">
        <f>SUMMARY!L78</f>
        <v>2238273.125</v>
      </c>
      <c r="C78" s="701">
        <v>2238273.125</v>
      </c>
      <c r="D78" s="815">
        <f t="shared" si="1"/>
        <v>0</v>
      </c>
    </row>
    <row r="79" spans="1:4" x14ac:dyDescent="0.25">
      <c r="A79" s="494" t="s">
        <v>234</v>
      </c>
      <c r="B79" s="701">
        <f>SUMMARY!L79</f>
        <v>42633503.125</v>
      </c>
      <c r="C79" s="701">
        <v>42633503.125</v>
      </c>
      <c r="D79" s="815">
        <f t="shared" si="1"/>
        <v>0</v>
      </c>
    </row>
    <row r="80" spans="1:4" x14ac:dyDescent="0.25">
      <c r="A80" s="494" t="s">
        <v>235</v>
      </c>
      <c r="B80" s="701">
        <f>SUMMARY!L80</f>
        <v>8175795.65625</v>
      </c>
      <c r="C80" s="701">
        <v>8175795.65625</v>
      </c>
      <c r="D80" s="815">
        <f t="shared" si="1"/>
        <v>0</v>
      </c>
    </row>
    <row r="81" spans="1:5" x14ac:dyDescent="0.25">
      <c r="A81" s="494" t="s">
        <v>236</v>
      </c>
      <c r="B81" s="701">
        <f>SUMMARY!L81</f>
        <v>3627266.09375</v>
      </c>
      <c r="C81" s="701">
        <v>3627266.09375</v>
      </c>
      <c r="D81" s="815">
        <f t="shared" si="1"/>
        <v>0</v>
      </c>
    </row>
    <row r="82" spans="1:5" x14ac:dyDescent="0.25">
      <c r="A82" s="490"/>
      <c r="B82" s="701"/>
      <c r="C82" s="701"/>
      <c r="D82" s="815"/>
    </row>
    <row r="83" spans="1:5" ht="16.5" thickBot="1" x14ac:dyDescent="0.3">
      <c r="A83" s="500"/>
      <c r="B83" s="702"/>
      <c r="C83" s="702"/>
      <c r="D83" s="825"/>
    </row>
    <row r="84" spans="1:5" ht="16.5" thickBot="1" x14ac:dyDescent="0.3">
      <c r="A84" s="700" t="s">
        <v>113</v>
      </c>
      <c r="B84" s="703">
        <f>SUM(B4:B81)</f>
        <v>2292444889.9873133</v>
      </c>
      <c r="C84" s="821">
        <f>SUM(C4:C81)</f>
        <v>1981522537.1363125</v>
      </c>
      <c r="D84" s="822">
        <f t="shared" ref="D84" si="2">SUM(D4:D81)</f>
        <v>310922352.85100013</v>
      </c>
    </row>
    <row r="85" spans="1:5" x14ac:dyDescent="0.25">
      <c r="A85" s="506"/>
      <c r="C85" s="2"/>
      <c r="D85" s="869"/>
      <c r="E85" s="868"/>
    </row>
    <row r="86" spans="1:5" x14ac:dyDescent="0.25">
      <c r="A86" s="508"/>
      <c r="C86" s="2"/>
      <c r="D86" s="869"/>
    </row>
    <row r="87" spans="1:5" ht="15" x14ac:dyDescent="0.25">
      <c r="A87" s="13" t="s">
        <v>620</v>
      </c>
      <c r="B87" s="13"/>
      <c r="C87" s="85"/>
      <c r="D87" s="869"/>
    </row>
    <row r="88" spans="1:5" thickBot="1" x14ac:dyDescent="0.3">
      <c r="A88" s="64"/>
      <c r="B88" s="293"/>
      <c r="C88" s="85"/>
      <c r="D88" s="869"/>
    </row>
    <row r="89" spans="1:5" ht="15" x14ac:dyDescent="0.25">
      <c r="A89" s="276" t="s">
        <v>554</v>
      </c>
      <c r="B89" s="261">
        <f>'SUMMARY REVENUE'!G21</f>
        <v>-2304782566.8611875</v>
      </c>
      <c r="C89" s="85"/>
      <c r="D89" s="869"/>
      <c r="E89" s="10"/>
    </row>
    <row r="90" spans="1:5" thickBot="1" x14ac:dyDescent="0.3">
      <c r="A90" s="277" t="s">
        <v>555</v>
      </c>
      <c r="B90" s="265">
        <f t="shared" ref="B90" si="3">B84</f>
        <v>2292444889.9873133</v>
      </c>
      <c r="C90" s="258"/>
      <c r="D90" s="870"/>
    </row>
    <row r="91" spans="1:5" ht="15" x14ac:dyDescent="0.25">
      <c r="A91" s="263" t="s">
        <v>617</v>
      </c>
      <c r="B91" s="328">
        <f>SUM(B89:B90)</f>
        <v>-12337676.873874187</v>
      </c>
      <c r="C91" s="258"/>
      <c r="D91" s="870"/>
    </row>
    <row r="92" spans="1:5" thickBot="1" x14ac:dyDescent="0.3">
      <c r="A92" s="277" t="s">
        <v>592</v>
      </c>
      <c r="B92" s="265">
        <f>SUMMARY!D84+SUMMARY!E84</f>
        <v>251229771.31568754</v>
      </c>
      <c r="C92" s="275"/>
    </row>
    <row r="93" spans="1:5" thickBot="1" x14ac:dyDescent="0.3">
      <c r="A93" s="264" t="s">
        <v>294</v>
      </c>
      <c r="B93" s="266">
        <f>B91-B92</f>
        <v>-263567448.18956172</v>
      </c>
      <c r="C93" s="848" t="s">
        <v>909</v>
      </c>
      <c r="D93" s="815">
        <v>45000000</v>
      </c>
    </row>
    <row r="94" spans="1:5" s="744" customFormat="1" ht="15" x14ac:dyDescent="0.25">
      <c r="A94" s="258"/>
      <c r="B94" s="258"/>
      <c r="C94" s="848" t="s">
        <v>917</v>
      </c>
      <c r="D94" s="815">
        <v>132000000</v>
      </c>
    </row>
    <row r="95" spans="1:5" thickBot="1" x14ac:dyDescent="0.3">
      <c r="A95" s="258"/>
      <c r="B95" s="258"/>
      <c r="C95" s="848" t="s">
        <v>908</v>
      </c>
      <c r="D95" s="815">
        <v>50000000</v>
      </c>
    </row>
    <row r="96" spans="1:5" ht="15" x14ac:dyDescent="0.25">
      <c r="A96" s="276" t="s">
        <v>633</v>
      </c>
      <c r="B96" s="274">
        <f>'SUMMARY REVENUE'!G27</f>
        <v>-2065008296</v>
      </c>
      <c r="C96" s="51" t="s">
        <v>895</v>
      </c>
      <c r="D96" s="815">
        <v>132957550</v>
      </c>
    </row>
    <row r="97" spans="1:4" ht="15" x14ac:dyDescent="0.25">
      <c r="A97" s="277" t="s">
        <v>634</v>
      </c>
      <c r="B97" s="275">
        <f>'SUMMARY REVENUE'!G28</f>
        <v>2109618205.6172504</v>
      </c>
      <c r="C97" s="51" t="s">
        <v>896</v>
      </c>
      <c r="D97" s="815">
        <v>18032986</v>
      </c>
    </row>
    <row r="98" spans="1:4" ht="15" x14ac:dyDescent="0.25">
      <c r="A98" s="263" t="s">
        <v>635</v>
      </c>
      <c r="B98" s="258">
        <f>B96+B97</f>
        <v>44609909.617250443</v>
      </c>
      <c r="C98" s="51" t="s">
        <v>897</v>
      </c>
      <c r="D98" s="815">
        <v>36090000</v>
      </c>
    </row>
    <row r="99" spans="1:4" thickBot="1" x14ac:dyDescent="0.3">
      <c r="A99" s="277" t="s">
        <v>636</v>
      </c>
      <c r="B99" s="275">
        <f>SUMMARY!D84</f>
        <v>186056117.74500003</v>
      </c>
      <c r="C99" s="816" t="s">
        <v>898</v>
      </c>
      <c r="D99" s="824">
        <f>SUM(D93:D98)</f>
        <v>414080536</v>
      </c>
    </row>
    <row r="100" spans="1:4" ht="16.5" thickTop="1" thickBot="1" x14ac:dyDescent="0.3">
      <c r="A100" s="264" t="s">
        <v>294</v>
      </c>
      <c r="B100" s="265">
        <f>B98-B99</f>
        <v>-141446208.12774959</v>
      </c>
      <c r="C100" s="258" t="s">
        <v>899</v>
      </c>
      <c r="D100" s="818">
        <f>D84-D99</f>
        <v>-103158183.14899987</v>
      </c>
    </row>
  </sheetData>
  <pageMargins left="0.7" right="0.7" top="0.75" bottom="0.75" header="0.3" footer="0.3"/>
  <pageSetup paperSize="9" scale="69" fitToHeight="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fitToPage="1"/>
  </sheetPr>
  <dimension ref="A1:I26"/>
  <sheetViews>
    <sheetView view="pageBreakPreview" zoomScale="60" zoomScaleNormal="100" workbookViewId="0">
      <selection activeCell="F19" sqref="F19"/>
    </sheetView>
  </sheetViews>
  <sheetFormatPr defaultColWidth="8.85546875" defaultRowHeight="15" x14ac:dyDescent="0.25"/>
  <cols>
    <col min="1" max="1" width="29.7109375" style="19" customWidth="1"/>
    <col min="2" max="2" width="15.7109375" style="63" hidden="1" customWidth="1"/>
    <col min="3" max="7" width="14.140625" style="63" customWidth="1"/>
    <col min="8" max="8" width="15.28515625" style="63" customWidth="1"/>
    <col min="9" max="9" width="13" customWidth="1"/>
  </cols>
  <sheetData>
    <row r="1" spans="1:9" ht="18.75" x14ac:dyDescent="0.3">
      <c r="A1" s="15" t="s">
        <v>524</v>
      </c>
      <c r="B1" s="105"/>
      <c r="C1" s="105"/>
      <c r="D1" s="105"/>
      <c r="E1" s="105"/>
      <c r="F1" s="105"/>
      <c r="G1" s="105"/>
      <c r="H1" s="105"/>
    </row>
    <row r="2" spans="1:9" ht="19.5" thickBot="1" x14ac:dyDescent="0.35">
      <c r="A2" s="15"/>
      <c r="B2" s="105"/>
      <c r="C2" s="105"/>
      <c r="D2" s="105"/>
      <c r="E2" s="105"/>
      <c r="F2" s="105"/>
      <c r="G2" s="105"/>
      <c r="H2" s="105"/>
    </row>
    <row r="3" spans="1:9" ht="39.75" thickBot="1" x14ac:dyDescent="0.3">
      <c r="A3" s="394" t="s">
        <v>39</v>
      </c>
      <c r="B3" s="395" t="s">
        <v>393</v>
      </c>
      <c r="C3" s="395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395" t="s">
        <v>556</v>
      </c>
      <c r="I3" s="427" t="s">
        <v>644</v>
      </c>
    </row>
    <row r="4" spans="1:9" hidden="1" x14ac:dyDescent="0.25">
      <c r="A4" s="50" t="s">
        <v>2</v>
      </c>
      <c r="B4" s="51"/>
      <c r="C4" s="239">
        <f>B4*6.5%+B4</f>
        <v>0</v>
      </c>
      <c r="D4" s="239"/>
      <c r="E4" s="239"/>
      <c r="F4" s="239"/>
      <c r="G4" s="239"/>
      <c r="H4" s="51">
        <f>C4*5%+C4</f>
        <v>0</v>
      </c>
      <c r="I4" s="447"/>
    </row>
    <row r="5" spans="1:9" hidden="1" x14ac:dyDescent="0.25">
      <c r="A5" s="50" t="s">
        <v>3</v>
      </c>
      <c r="B5" s="51"/>
      <c r="C5" s="239">
        <f>B5*6.5%+B5</f>
        <v>0</v>
      </c>
      <c r="D5" s="239"/>
      <c r="E5" s="239"/>
      <c r="F5" s="239"/>
      <c r="G5" s="239"/>
      <c r="H5" s="51">
        <f>C5*5%+C5</f>
        <v>0</v>
      </c>
      <c r="I5" s="447"/>
    </row>
    <row r="6" spans="1:9" hidden="1" x14ac:dyDescent="0.25">
      <c r="A6" s="50" t="s">
        <v>4</v>
      </c>
      <c r="B6" s="51"/>
      <c r="C6" s="239">
        <f>B6*6.5%+B6</f>
        <v>0</v>
      </c>
      <c r="D6" s="239"/>
      <c r="E6" s="239"/>
      <c r="F6" s="239"/>
      <c r="G6" s="239"/>
      <c r="H6" s="51">
        <f>C6*5%+C6</f>
        <v>0</v>
      </c>
      <c r="I6" s="447"/>
    </row>
    <row r="7" spans="1:9" hidden="1" x14ac:dyDescent="0.25">
      <c r="A7" s="50" t="s">
        <v>5</v>
      </c>
      <c r="B7" s="51"/>
      <c r="C7" s="239">
        <f>B7*6.5%+B7</f>
        <v>0</v>
      </c>
      <c r="D7" s="239"/>
      <c r="E7" s="239"/>
      <c r="F7" s="239"/>
      <c r="G7" s="239"/>
      <c r="H7" s="51">
        <f>C7*5%+C7</f>
        <v>0</v>
      </c>
      <c r="I7" s="447"/>
    </row>
    <row r="8" spans="1:9" hidden="1" x14ac:dyDescent="0.25">
      <c r="A8" s="50"/>
      <c r="B8" s="51"/>
      <c r="C8" s="177"/>
      <c r="D8" s="177"/>
      <c r="E8" s="177"/>
      <c r="F8" s="177"/>
      <c r="G8" s="177"/>
      <c r="H8" s="51"/>
      <c r="I8" s="447"/>
    </row>
    <row r="9" spans="1:9" hidden="1" x14ac:dyDescent="0.25">
      <c r="A9" s="60"/>
      <c r="B9" s="44">
        <f>SUM(B4:B7)</f>
        <v>0</v>
      </c>
      <c r="C9" s="178">
        <f>SUM(C4:C7)</f>
        <v>0</v>
      </c>
      <c r="D9" s="178"/>
      <c r="E9" s="178"/>
      <c r="F9" s="178"/>
      <c r="G9" s="178"/>
      <c r="H9" s="44">
        <f>SUM(H4:H7)</f>
        <v>0</v>
      </c>
      <c r="I9" s="447"/>
    </row>
    <row r="10" spans="1:9" hidden="1" x14ac:dyDescent="0.25">
      <c r="A10" s="50"/>
      <c r="B10" s="51"/>
      <c r="C10" s="177"/>
      <c r="D10" s="177"/>
      <c r="E10" s="177"/>
      <c r="F10" s="177"/>
      <c r="G10" s="177"/>
      <c r="H10" s="51"/>
      <c r="I10" s="447"/>
    </row>
    <row r="11" spans="1:9" hidden="1" x14ac:dyDescent="0.25">
      <c r="A11" s="50" t="s">
        <v>6</v>
      </c>
      <c r="B11" s="51"/>
      <c r="C11" s="239">
        <f>B11*6.5%+B11</f>
        <v>0</v>
      </c>
      <c r="D11" s="239"/>
      <c r="E11" s="239"/>
      <c r="F11" s="239"/>
      <c r="G11" s="239"/>
      <c r="H11" s="51">
        <f>C11*5%+C11</f>
        <v>0</v>
      </c>
      <c r="I11" s="447"/>
    </row>
    <row r="12" spans="1:9" hidden="1" x14ac:dyDescent="0.25">
      <c r="A12" s="50" t="s">
        <v>7</v>
      </c>
      <c r="B12" s="51"/>
      <c r="C12" s="239">
        <f>B12*6.5%+B12</f>
        <v>0</v>
      </c>
      <c r="D12" s="239"/>
      <c r="E12" s="239"/>
      <c r="F12" s="239"/>
      <c r="G12" s="239"/>
      <c r="H12" s="51">
        <f>C12*5%+C12</f>
        <v>0</v>
      </c>
      <c r="I12" s="447"/>
    </row>
    <row r="13" spans="1:9" hidden="1" x14ac:dyDescent="0.25">
      <c r="A13" s="50" t="s">
        <v>53</v>
      </c>
      <c r="B13" s="51"/>
      <c r="C13" s="239">
        <f>B13*6.5%+B13</f>
        <v>0</v>
      </c>
      <c r="D13" s="239"/>
      <c r="E13" s="239"/>
      <c r="F13" s="239"/>
      <c r="G13" s="239"/>
      <c r="H13" s="51">
        <f>C13*5%+C13</f>
        <v>0</v>
      </c>
      <c r="I13" s="447"/>
    </row>
    <row r="14" spans="1:9" hidden="1" x14ac:dyDescent="0.25">
      <c r="A14" s="50" t="s">
        <v>9</v>
      </c>
      <c r="B14" s="51"/>
      <c r="C14" s="239">
        <f>B14*6.5%+B14</f>
        <v>0</v>
      </c>
      <c r="D14" s="239"/>
      <c r="E14" s="239"/>
      <c r="F14" s="239"/>
      <c r="G14" s="239"/>
      <c r="H14" s="51">
        <f>C14*5%+C14</f>
        <v>0</v>
      </c>
      <c r="I14" s="447"/>
    </row>
    <row r="15" spans="1:9" hidden="1" x14ac:dyDescent="0.25">
      <c r="A15" s="50"/>
      <c r="B15" s="51"/>
      <c r="C15" s="177"/>
      <c r="D15" s="177"/>
      <c r="E15" s="177"/>
      <c r="F15" s="177"/>
      <c r="G15" s="177"/>
      <c r="H15" s="51"/>
      <c r="I15" s="447"/>
    </row>
    <row r="16" spans="1:9" hidden="1" x14ac:dyDescent="0.25">
      <c r="A16" s="60"/>
      <c r="B16" s="44">
        <f>SUM(B11:B14)</f>
        <v>0</v>
      </c>
      <c r="C16" s="178">
        <f>SUM(C11:C14)</f>
        <v>0</v>
      </c>
      <c r="D16" s="178"/>
      <c r="E16" s="178"/>
      <c r="F16" s="178"/>
      <c r="G16" s="178"/>
      <c r="H16" s="44">
        <f>SUM(H11:H14)</f>
        <v>0</v>
      </c>
      <c r="I16" s="447"/>
    </row>
    <row r="17" spans="1:9" hidden="1" x14ac:dyDescent="0.25">
      <c r="A17" s="60"/>
      <c r="B17" s="44"/>
      <c r="C17" s="178"/>
      <c r="D17" s="178"/>
      <c r="E17" s="178"/>
      <c r="F17" s="178"/>
      <c r="G17" s="178"/>
      <c r="H17" s="44"/>
      <c r="I17" s="447"/>
    </row>
    <row r="18" spans="1:9" x14ac:dyDescent="0.25">
      <c r="A18" s="50" t="s">
        <v>316</v>
      </c>
      <c r="B18" s="291">
        <v>100000</v>
      </c>
      <c r="C18" s="165">
        <f>B18*6.25%+B18</f>
        <v>106250</v>
      </c>
      <c r="D18" s="165"/>
      <c r="E18" s="165">
        <f>C18-D18</f>
        <v>106250</v>
      </c>
      <c r="F18" s="165">
        <f>-E18</f>
        <v>-106250</v>
      </c>
      <c r="G18" s="165">
        <f>C18+F18</f>
        <v>0</v>
      </c>
      <c r="H18" s="165">
        <f>C18*6.25%+C18</f>
        <v>112890.625</v>
      </c>
      <c r="I18" s="440">
        <f>H18*6.25%+H18</f>
        <v>119946.2890625</v>
      </c>
    </row>
    <row r="19" spans="1:9" x14ac:dyDescent="0.25">
      <c r="A19" s="342" t="s">
        <v>43</v>
      </c>
      <c r="B19" s="44">
        <f>SUM(B18:B18)</f>
        <v>100000</v>
      </c>
      <c r="C19" s="178">
        <f>SUM(C18:C18)</f>
        <v>106250</v>
      </c>
      <c r="D19" s="178">
        <f t="shared" ref="D19:E19" si="0">SUM(D18:D18)</f>
        <v>0</v>
      </c>
      <c r="E19" s="178">
        <f t="shared" si="0"/>
        <v>106250</v>
      </c>
      <c r="F19" s="178">
        <f t="shared" ref="F19:G19" si="1">SUM(F18:F18)</f>
        <v>-106250</v>
      </c>
      <c r="G19" s="178">
        <f t="shared" si="1"/>
        <v>0</v>
      </c>
      <c r="H19" s="178">
        <f>SUM(H18:H18)</f>
        <v>112890.625</v>
      </c>
      <c r="I19" s="400">
        <f>SUM(I18:I18)</f>
        <v>119946.2890625</v>
      </c>
    </row>
    <row r="20" spans="1:9" hidden="1" x14ac:dyDescent="0.25">
      <c r="A20" s="398"/>
      <c r="B20" s="51"/>
      <c r="C20" s="177"/>
      <c r="D20" s="177"/>
      <c r="E20" s="177"/>
      <c r="F20" s="177"/>
      <c r="G20" s="177"/>
      <c r="H20" s="51"/>
      <c r="I20" s="441">
        <f>H20*5.4%+H20</f>
        <v>0</v>
      </c>
    </row>
    <row r="21" spans="1:9" hidden="1" x14ac:dyDescent="0.25">
      <c r="A21" s="341">
        <v>156</v>
      </c>
      <c r="B21" s="291"/>
      <c r="C21" s="216">
        <f>B21*6.2%+B21</f>
        <v>0</v>
      </c>
      <c r="D21" s="216"/>
      <c r="E21" s="216"/>
      <c r="F21" s="216"/>
      <c r="G21" s="216"/>
      <c r="H21" s="291">
        <f>C21*5.9%+C21</f>
        <v>0</v>
      </c>
      <c r="I21" s="441">
        <f>H21*5.4%+H21</f>
        <v>0</v>
      </c>
    </row>
    <row r="22" spans="1:9" hidden="1" x14ac:dyDescent="0.25">
      <c r="A22" s="341">
        <v>156</v>
      </c>
      <c r="B22" s="291"/>
      <c r="C22" s="216">
        <f>B22*6.2%+B22</f>
        <v>0</v>
      </c>
      <c r="D22" s="216"/>
      <c r="E22" s="216"/>
      <c r="F22" s="216"/>
      <c r="G22" s="216"/>
      <c r="H22" s="291">
        <f>C22*5.9%+C22</f>
        <v>0</v>
      </c>
      <c r="I22" s="441">
        <f>H22*5.4%+H22</f>
        <v>0</v>
      </c>
    </row>
    <row r="23" spans="1:9" hidden="1" x14ac:dyDescent="0.25">
      <c r="A23" s="389"/>
      <c r="B23" s="291"/>
      <c r="C23" s="216">
        <f>B23*6.2%+B23</f>
        <v>0</v>
      </c>
      <c r="D23" s="216"/>
      <c r="E23" s="216"/>
      <c r="F23" s="216"/>
      <c r="G23" s="216"/>
      <c r="H23" s="291">
        <f>C23*5.9%+C23</f>
        <v>0</v>
      </c>
      <c r="I23" s="441">
        <f>H23*5.4%+H23</f>
        <v>0</v>
      </c>
    </row>
    <row r="24" spans="1:9" hidden="1" x14ac:dyDescent="0.25">
      <c r="A24" s="343" t="s">
        <v>42</v>
      </c>
      <c r="B24" s="44">
        <f>SUM(B21:B23)</f>
        <v>0</v>
      </c>
      <c r="C24" s="178">
        <f>SUM(C21:C23)</f>
        <v>0</v>
      </c>
      <c r="D24" s="178"/>
      <c r="E24" s="178"/>
      <c r="F24" s="178"/>
      <c r="G24" s="178"/>
      <c r="H24" s="44">
        <f>SUM(H21:H23)</f>
        <v>0</v>
      </c>
      <c r="I24" s="441">
        <f>H24*5.4%+H24</f>
        <v>0</v>
      </c>
    </row>
    <row r="25" spans="1:9" x14ac:dyDescent="0.25">
      <c r="A25" s="343"/>
      <c r="B25" s="44"/>
      <c r="C25" s="178"/>
      <c r="D25" s="178"/>
      <c r="E25" s="178"/>
      <c r="F25" s="178"/>
      <c r="G25" s="178"/>
      <c r="H25" s="44"/>
      <c r="I25" s="441"/>
    </row>
    <row r="26" spans="1:9" ht="15.75" thickBot="1" x14ac:dyDescent="0.3">
      <c r="A26" s="390" t="s">
        <v>48</v>
      </c>
      <c r="B26" s="391">
        <f>B9+B16+B19+B24</f>
        <v>100000</v>
      </c>
      <c r="C26" s="403">
        <f>C9+C16+C19+C24</f>
        <v>106250</v>
      </c>
      <c r="D26" s="403">
        <f t="shared" ref="D26:E26" si="2">D9+D16+D19+D24</f>
        <v>0</v>
      </c>
      <c r="E26" s="403">
        <f t="shared" si="2"/>
        <v>106250</v>
      </c>
      <c r="F26" s="403">
        <f t="shared" ref="F26:G26" si="3">F9+F16+F19+F24</f>
        <v>-106250</v>
      </c>
      <c r="G26" s="403">
        <f t="shared" si="3"/>
        <v>0</v>
      </c>
      <c r="H26" s="403">
        <f>H9+H16+H19+H24</f>
        <v>112890.625</v>
      </c>
      <c r="I26" s="401">
        <f>I9+I16+I19+I24</f>
        <v>119946.2890625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Footer>&amp;A&amp;RPage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2:N72"/>
  <sheetViews>
    <sheetView workbookViewId="0">
      <selection activeCell="I28" sqref="I28"/>
    </sheetView>
  </sheetViews>
  <sheetFormatPr defaultColWidth="8.85546875" defaultRowHeight="15" x14ac:dyDescent="0.25"/>
  <cols>
    <col min="1" max="1" width="4.28515625" customWidth="1"/>
    <col min="2" max="2" width="4" customWidth="1"/>
    <col min="3" max="3" width="5.28515625" customWidth="1"/>
    <col min="4" max="4" width="29.42578125" customWidth="1"/>
    <col min="5" max="5" width="15.28515625" style="14" customWidth="1"/>
    <col min="6" max="7" width="15.28515625" style="14" hidden="1" customWidth="1"/>
    <col min="8" max="9" width="15.28515625" style="14" customWidth="1"/>
    <col min="10" max="10" width="17.42578125" style="14" customWidth="1"/>
    <col min="11" max="11" width="16.28515625" style="14" bestFit="1" customWidth="1"/>
  </cols>
  <sheetData>
    <row r="2" spans="1:11" ht="18.75" x14ac:dyDescent="0.3">
      <c r="A2" s="3" t="s">
        <v>171</v>
      </c>
      <c r="B2" s="3"/>
      <c r="C2" s="3"/>
      <c r="D2" s="3"/>
      <c r="E2" s="16"/>
      <c r="F2" s="16"/>
      <c r="G2" s="16"/>
      <c r="H2" s="16"/>
      <c r="I2" s="16"/>
      <c r="J2" s="16"/>
      <c r="K2" s="16"/>
    </row>
    <row r="4" spans="1:11" ht="56.25" x14ac:dyDescent="0.3">
      <c r="A4" s="908" t="s">
        <v>47</v>
      </c>
      <c r="B4" s="908"/>
      <c r="C4" s="908"/>
      <c r="D4" s="36" t="s">
        <v>39</v>
      </c>
      <c r="E4" s="43" t="s">
        <v>124</v>
      </c>
      <c r="F4" s="37" t="s">
        <v>163</v>
      </c>
      <c r="G4" s="37" t="s">
        <v>87</v>
      </c>
      <c r="H4" s="66" t="s">
        <v>164</v>
      </c>
      <c r="I4" s="66" t="s">
        <v>165</v>
      </c>
      <c r="J4" s="43" t="s">
        <v>125</v>
      </c>
      <c r="K4" s="43" t="s">
        <v>126</v>
      </c>
    </row>
    <row r="5" spans="1:11" ht="18.75" x14ac:dyDescent="0.3">
      <c r="A5" s="38">
        <v>166</v>
      </c>
      <c r="B5" s="79">
        <v>4</v>
      </c>
      <c r="C5" s="79">
        <v>3359</v>
      </c>
      <c r="D5" s="80" t="s">
        <v>192</v>
      </c>
      <c r="E5" s="43"/>
      <c r="F5" s="37"/>
      <c r="G5" s="37"/>
      <c r="H5" s="66"/>
      <c r="I5" s="66"/>
      <c r="J5" s="43"/>
      <c r="K5" s="43"/>
    </row>
    <row r="6" spans="1:11" x14ac:dyDescent="0.25">
      <c r="A6" s="42" t="s">
        <v>182</v>
      </c>
      <c r="B6" s="42"/>
      <c r="C6" s="42"/>
      <c r="D6" s="42"/>
      <c r="E6" s="44">
        <f t="shared" ref="E6:K6" si="0">SUM(E5:E5)</f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</row>
    <row r="7" spans="1:11" ht="18.75" x14ac:dyDescent="0.3">
      <c r="A7" s="78"/>
      <c r="B7" s="78"/>
      <c r="C7" s="78"/>
      <c r="D7" s="36"/>
      <c r="E7" s="43"/>
      <c r="F7" s="37"/>
      <c r="G7" s="37"/>
      <c r="H7" s="66"/>
      <c r="I7" s="66"/>
      <c r="J7" s="43"/>
      <c r="K7" s="43"/>
    </row>
    <row r="8" spans="1:11" x14ac:dyDescent="0.25">
      <c r="A8" s="38">
        <v>166</v>
      </c>
      <c r="B8" s="38">
        <v>30</v>
      </c>
      <c r="C8" s="39">
        <v>2</v>
      </c>
      <c r="D8" s="1" t="s">
        <v>2</v>
      </c>
      <c r="E8" s="41"/>
      <c r="F8" s="41">
        <v>2285117.4</v>
      </c>
      <c r="G8" s="40">
        <f>E8-F8</f>
        <v>-2285117.4</v>
      </c>
      <c r="H8" s="41">
        <f t="shared" ref="H8:H16" si="1">I8-E8</f>
        <v>6273929</v>
      </c>
      <c r="I8" s="41">
        <v>6273929</v>
      </c>
      <c r="J8" s="41">
        <f>I8*6%+I8</f>
        <v>6650364.7400000002</v>
      </c>
      <c r="K8" s="41">
        <f t="shared" ref="K8:K16" si="2">J8*8%+J8</f>
        <v>7182393.9192000004</v>
      </c>
    </row>
    <row r="9" spans="1:11" x14ac:dyDescent="0.25">
      <c r="A9" s="38">
        <v>166</v>
      </c>
      <c r="B9" s="38">
        <v>30</v>
      </c>
      <c r="C9" s="39">
        <v>6</v>
      </c>
      <c r="D9" s="1" t="s">
        <v>3</v>
      </c>
      <c r="E9" s="41"/>
      <c r="F9" s="41">
        <v>110481.11</v>
      </c>
      <c r="G9" s="40">
        <f>E9-F9</f>
        <v>-110481.11</v>
      </c>
      <c r="H9" s="41">
        <f t="shared" si="1"/>
        <v>612399</v>
      </c>
      <c r="I9" s="41">
        <v>612399</v>
      </c>
      <c r="J9" s="41">
        <f t="shared" ref="J9:J16" si="3">I9*6%+I9</f>
        <v>649142.93999999994</v>
      </c>
      <c r="K9" s="41">
        <f t="shared" si="2"/>
        <v>701074.37519999989</v>
      </c>
    </row>
    <row r="10" spans="1:11" x14ac:dyDescent="0.25">
      <c r="A10" s="38">
        <v>166</v>
      </c>
      <c r="B10" s="38">
        <v>30</v>
      </c>
      <c r="C10" s="39">
        <v>10</v>
      </c>
      <c r="D10" s="1" t="s">
        <v>17</v>
      </c>
      <c r="E10" s="41"/>
      <c r="F10" s="41"/>
      <c r="G10" s="40"/>
      <c r="H10" s="41">
        <f t="shared" si="1"/>
        <v>2445833</v>
      </c>
      <c r="I10" s="41">
        <v>2445833</v>
      </c>
      <c r="J10" s="41">
        <f t="shared" si="3"/>
        <v>2592582.98</v>
      </c>
      <c r="K10" s="41">
        <f t="shared" si="2"/>
        <v>2799989.6184</v>
      </c>
    </row>
    <row r="11" spans="1:11" x14ac:dyDescent="0.25">
      <c r="A11" s="38">
        <v>166</v>
      </c>
      <c r="B11" s="38">
        <v>30</v>
      </c>
      <c r="C11" s="39">
        <v>11</v>
      </c>
      <c r="D11" s="1" t="s">
        <v>172</v>
      </c>
      <c r="E11" s="41"/>
      <c r="F11" s="41"/>
      <c r="G11" s="40"/>
      <c r="H11" s="41">
        <f t="shared" si="1"/>
        <v>547616</v>
      </c>
      <c r="I11" s="41">
        <v>547616</v>
      </c>
      <c r="J11" s="41">
        <f t="shared" si="3"/>
        <v>580472.96</v>
      </c>
      <c r="K11" s="41">
        <f t="shared" si="2"/>
        <v>626910.79680000001</v>
      </c>
    </row>
    <row r="12" spans="1:11" x14ac:dyDescent="0.25">
      <c r="A12" s="38">
        <v>166</v>
      </c>
      <c r="B12" s="38">
        <v>30</v>
      </c>
      <c r="C12" s="39">
        <v>12</v>
      </c>
      <c r="D12" s="1" t="s">
        <v>193</v>
      </c>
      <c r="E12" s="41"/>
      <c r="F12" s="41"/>
      <c r="G12" s="40"/>
      <c r="H12" s="41">
        <f t="shared" si="1"/>
        <v>776541</v>
      </c>
      <c r="I12" s="41">
        <v>776541</v>
      </c>
      <c r="J12" s="41">
        <f t="shared" si="3"/>
        <v>823133.46</v>
      </c>
      <c r="K12" s="41">
        <f t="shared" si="2"/>
        <v>888984.13679999998</v>
      </c>
    </row>
    <row r="13" spans="1:11" x14ac:dyDescent="0.25">
      <c r="A13" s="38">
        <v>166</v>
      </c>
      <c r="B13" s="38">
        <v>30</v>
      </c>
      <c r="C13" s="39">
        <v>13</v>
      </c>
      <c r="D13" s="1" t="s">
        <v>194</v>
      </c>
      <c r="E13" s="41"/>
      <c r="F13" s="41"/>
      <c r="G13" s="40"/>
      <c r="H13" s="41">
        <f t="shared" si="1"/>
        <v>78125</v>
      </c>
      <c r="I13" s="41">
        <v>78125</v>
      </c>
      <c r="J13" s="41">
        <f t="shared" si="3"/>
        <v>82812.5</v>
      </c>
      <c r="K13" s="41">
        <f t="shared" si="2"/>
        <v>89437.5</v>
      </c>
    </row>
    <row r="14" spans="1:11" x14ac:dyDescent="0.25">
      <c r="A14" s="38">
        <v>166</v>
      </c>
      <c r="B14" s="38">
        <v>30</v>
      </c>
      <c r="C14" s="39">
        <v>15</v>
      </c>
      <c r="D14" s="1" t="s">
        <v>4</v>
      </c>
      <c r="E14" s="41"/>
      <c r="F14" s="41">
        <v>11340</v>
      </c>
      <c r="G14" s="40">
        <f>E14-F14</f>
        <v>-11340</v>
      </c>
      <c r="H14" s="41">
        <f t="shared" si="1"/>
        <v>41844</v>
      </c>
      <c r="I14" s="41">
        <v>41844</v>
      </c>
      <c r="J14" s="41">
        <f t="shared" si="3"/>
        <v>44354.64</v>
      </c>
      <c r="K14" s="41">
        <f t="shared" si="2"/>
        <v>47903.011200000001</v>
      </c>
    </row>
    <row r="15" spans="1:11" x14ac:dyDescent="0.25">
      <c r="A15" s="38">
        <v>166</v>
      </c>
      <c r="B15" s="38">
        <v>30</v>
      </c>
      <c r="C15" s="39">
        <v>30</v>
      </c>
      <c r="D15" s="1" t="s">
        <v>5</v>
      </c>
      <c r="E15" s="41"/>
      <c r="F15" s="41">
        <v>264712.62</v>
      </c>
      <c r="G15" s="40">
        <f>E15-F15</f>
        <v>-264712.62</v>
      </c>
      <c r="H15" s="41">
        <f t="shared" si="1"/>
        <v>414036</v>
      </c>
      <c r="I15" s="41">
        <v>414036</v>
      </c>
      <c r="J15" s="41">
        <f t="shared" si="3"/>
        <v>438878.16</v>
      </c>
      <c r="K15" s="41">
        <f t="shared" si="2"/>
        <v>473988.41279999999</v>
      </c>
    </row>
    <row r="16" spans="1:11" x14ac:dyDescent="0.25">
      <c r="A16" s="38">
        <v>166</v>
      </c>
      <c r="B16" s="38">
        <v>30</v>
      </c>
      <c r="C16" s="39">
        <v>35</v>
      </c>
      <c r="D16" s="1" t="s">
        <v>173</v>
      </c>
      <c r="E16" s="41"/>
      <c r="F16" s="41">
        <v>264712.62</v>
      </c>
      <c r="G16" s="40">
        <f>E16-F16</f>
        <v>-264712.62</v>
      </c>
      <c r="H16" s="41">
        <f t="shared" si="1"/>
        <v>427507</v>
      </c>
      <c r="I16" s="41">
        <v>427507</v>
      </c>
      <c r="J16" s="41">
        <f t="shared" si="3"/>
        <v>453157.42</v>
      </c>
      <c r="K16" s="41">
        <f t="shared" si="2"/>
        <v>489410.01360000001</v>
      </c>
    </row>
    <row r="17" spans="1:14" x14ac:dyDescent="0.25">
      <c r="A17" s="42" t="s">
        <v>40</v>
      </c>
      <c r="B17" s="42"/>
      <c r="C17" s="42"/>
      <c r="D17" s="42"/>
      <c r="E17" s="44">
        <f t="shared" ref="E17:K17" si="4">SUM(E8:E16)</f>
        <v>0</v>
      </c>
      <c r="F17" s="44">
        <f t="shared" si="4"/>
        <v>2936363.75</v>
      </c>
      <c r="G17" s="44">
        <f t="shared" si="4"/>
        <v>-2936363.75</v>
      </c>
      <c r="H17" s="44">
        <f t="shared" si="4"/>
        <v>11617830</v>
      </c>
      <c r="I17" s="44">
        <f t="shared" si="4"/>
        <v>11617830</v>
      </c>
      <c r="J17" s="44">
        <f t="shared" si="4"/>
        <v>12314899.800000003</v>
      </c>
      <c r="K17" s="44">
        <f t="shared" si="4"/>
        <v>13300091.783999998</v>
      </c>
    </row>
    <row r="18" spans="1:14" x14ac:dyDescent="0.25">
      <c r="A18" s="1"/>
      <c r="B18" s="1"/>
      <c r="C18" s="1"/>
      <c r="D18" s="1"/>
      <c r="E18" s="41"/>
      <c r="F18" s="41"/>
      <c r="G18" s="40">
        <f>E18-F18</f>
        <v>0</v>
      </c>
      <c r="H18" s="41"/>
      <c r="I18" s="41"/>
      <c r="J18" s="41"/>
      <c r="K18" s="41"/>
    </row>
    <row r="19" spans="1:14" x14ac:dyDescent="0.25">
      <c r="A19" s="38">
        <v>166</v>
      </c>
      <c r="B19" s="38">
        <v>31</v>
      </c>
      <c r="C19" s="39">
        <v>18</v>
      </c>
      <c r="D19" s="1" t="s">
        <v>6</v>
      </c>
      <c r="E19" s="41"/>
      <c r="F19" s="41">
        <v>80749.2</v>
      </c>
      <c r="G19" s="40">
        <f>E19-F19</f>
        <v>-80749.2</v>
      </c>
      <c r="H19" s="41">
        <f>I19-E19</f>
        <v>301613</v>
      </c>
      <c r="I19" s="41">
        <v>301613</v>
      </c>
      <c r="J19" s="41">
        <f t="shared" ref="J19:J25" si="5">I19*6%+I19</f>
        <v>319709.78000000003</v>
      </c>
      <c r="K19" s="41">
        <f>J19*8%+J19</f>
        <v>345286.56240000005</v>
      </c>
    </row>
    <row r="20" spans="1:14" x14ac:dyDescent="0.25">
      <c r="A20" s="38">
        <v>166</v>
      </c>
      <c r="B20" s="38">
        <v>31</v>
      </c>
      <c r="C20" s="39">
        <v>20</v>
      </c>
      <c r="D20" s="1" t="s">
        <v>195</v>
      </c>
      <c r="E20" s="41"/>
      <c r="F20" s="41"/>
      <c r="G20" s="40"/>
      <c r="H20" s="41">
        <f t="shared" ref="H20:H25" si="6">I20-E20</f>
        <v>0</v>
      </c>
      <c r="I20" s="41">
        <v>0</v>
      </c>
      <c r="J20" s="41">
        <f t="shared" si="5"/>
        <v>0</v>
      </c>
      <c r="K20" s="41">
        <f t="shared" ref="K20:K25" si="7">J20*8%+J20</f>
        <v>0</v>
      </c>
    </row>
    <row r="21" spans="1:14" x14ac:dyDescent="0.25">
      <c r="A21" s="38">
        <v>166</v>
      </c>
      <c r="B21" s="38">
        <v>31</v>
      </c>
      <c r="C21" s="39">
        <v>22</v>
      </c>
      <c r="D21" s="1" t="s">
        <v>7</v>
      </c>
      <c r="E21" s="41"/>
      <c r="F21" s="41">
        <v>11764.74</v>
      </c>
      <c r="G21" s="40">
        <f>E21-F21</f>
        <v>-11764.74</v>
      </c>
      <c r="H21" s="41">
        <f t="shared" si="6"/>
        <v>82813</v>
      </c>
      <c r="I21" s="41">
        <v>82813</v>
      </c>
      <c r="J21" s="41">
        <f t="shared" si="5"/>
        <v>87781.78</v>
      </c>
      <c r="K21" s="41">
        <f t="shared" si="7"/>
        <v>94804.322400000005</v>
      </c>
    </row>
    <row r="22" spans="1:14" x14ac:dyDescent="0.25">
      <c r="A22" s="38">
        <v>166</v>
      </c>
      <c r="B22" s="38">
        <v>31</v>
      </c>
      <c r="C22" s="39">
        <v>25</v>
      </c>
      <c r="D22" s="1" t="s">
        <v>53</v>
      </c>
      <c r="E22" s="41"/>
      <c r="F22" s="41">
        <v>374489.59</v>
      </c>
      <c r="G22" s="40">
        <f>E22-F22</f>
        <v>-374489.59</v>
      </c>
      <c r="H22" s="41">
        <f t="shared" si="6"/>
        <v>1419044</v>
      </c>
      <c r="I22" s="41">
        <v>1419044</v>
      </c>
      <c r="J22" s="41">
        <f t="shared" si="5"/>
        <v>1504186.64</v>
      </c>
      <c r="K22" s="41">
        <f t="shared" si="7"/>
        <v>1624521.5711999999</v>
      </c>
    </row>
    <row r="23" spans="1:14" x14ac:dyDescent="0.25">
      <c r="A23" s="38">
        <v>166</v>
      </c>
      <c r="B23" s="38">
        <v>31</v>
      </c>
      <c r="C23" s="39">
        <v>26</v>
      </c>
      <c r="D23" s="1" t="s">
        <v>174</v>
      </c>
      <c r="E23" s="41"/>
      <c r="F23" s="41"/>
      <c r="G23" s="40"/>
      <c r="H23" s="41">
        <f t="shared" si="6"/>
        <v>2980</v>
      </c>
      <c r="I23" s="41">
        <v>2980</v>
      </c>
      <c r="J23" s="41">
        <f t="shared" si="5"/>
        <v>3158.8</v>
      </c>
      <c r="K23" s="41">
        <f t="shared" si="7"/>
        <v>3411.5040000000004</v>
      </c>
    </row>
    <row r="24" spans="1:14" x14ac:dyDescent="0.25">
      <c r="A24" s="38">
        <v>166</v>
      </c>
      <c r="B24" s="38">
        <v>31</v>
      </c>
      <c r="C24" s="39">
        <v>44</v>
      </c>
      <c r="D24" s="1" t="s">
        <v>175</v>
      </c>
      <c r="E24" s="41"/>
      <c r="F24" s="41"/>
      <c r="G24" s="40"/>
      <c r="H24" s="41">
        <f t="shared" si="6"/>
        <v>56206</v>
      </c>
      <c r="I24" s="41">
        <v>56206</v>
      </c>
      <c r="J24" s="41">
        <f t="shared" si="5"/>
        <v>59578.36</v>
      </c>
      <c r="K24" s="41">
        <f t="shared" si="7"/>
        <v>64344.628799999999</v>
      </c>
    </row>
    <row r="25" spans="1:14" x14ac:dyDescent="0.25">
      <c r="A25" s="38">
        <v>166</v>
      </c>
      <c r="B25" s="38">
        <v>31</v>
      </c>
      <c r="C25" s="39">
        <v>70</v>
      </c>
      <c r="D25" s="1" t="s">
        <v>196</v>
      </c>
      <c r="E25" s="41"/>
      <c r="F25" s="41">
        <v>-21680.69</v>
      </c>
      <c r="G25" s="40">
        <f>E25-F25</f>
        <v>21680.69</v>
      </c>
      <c r="H25" s="41">
        <f t="shared" si="6"/>
        <v>116151</v>
      </c>
      <c r="I25" s="41">
        <v>116151</v>
      </c>
      <c r="J25" s="41">
        <f t="shared" si="5"/>
        <v>123120.06</v>
      </c>
      <c r="K25" s="41">
        <f t="shared" si="7"/>
        <v>132969.6648</v>
      </c>
    </row>
    <row r="26" spans="1:14" x14ac:dyDescent="0.25">
      <c r="A26" s="42" t="s">
        <v>41</v>
      </c>
      <c r="B26" s="42"/>
      <c r="C26" s="42"/>
      <c r="D26" s="42"/>
      <c r="E26" s="44">
        <f t="shared" ref="E26:K26" si="8">SUM(E19:E25)</f>
        <v>0</v>
      </c>
      <c r="F26" s="44">
        <f t="shared" si="8"/>
        <v>445322.84</v>
      </c>
      <c r="G26" s="44">
        <f t="shared" si="8"/>
        <v>-445322.84</v>
      </c>
      <c r="H26" s="44">
        <f t="shared" si="8"/>
        <v>1978807</v>
      </c>
      <c r="I26" s="44">
        <f t="shared" si="8"/>
        <v>1978807</v>
      </c>
      <c r="J26" s="44">
        <f t="shared" si="8"/>
        <v>2097535.42</v>
      </c>
      <c r="K26" s="44">
        <f t="shared" si="8"/>
        <v>2265338.2535999999</v>
      </c>
    </row>
    <row r="27" spans="1:14" x14ac:dyDescent="0.25">
      <c r="A27" s="42"/>
      <c r="B27" s="42"/>
      <c r="C27" s="42"/>
      <c r="D27" s="42"/>
      <c r="E27" s="44"/>
      <c r="F27" s="44"/>
      <c r="G27" s="44"/>
      <c r="H27" s="44"/>
      <c r="I27" s="44"/>
      <c r="J27" s="44"/>
      <c r="K27" s="44"/>
    </row>
    <row r="28" spans="1:14" s="72" customFormat="1" x14ac:dyDescent="0.25">
      <c r="A28" s="56">
        <v>160</v>
      </c>
      <c r="B28" s="56">
        <v>35</v>
      </c>
      <c r="C28" s="57">
        <v>629</v>
      </c>
      <c r="D28" s="58" t="s">
        <v>244</v>
      </c>
      <c r="E28" s="59"/>
      <c r="F28" s="59">
        <v>240894.98</v>
      </c>
      <c r="G28" s="59">
        <f>E28-F28</f>
        <v>-240894.98</v>
      </c>
      <c r="H28" s="59">
        <f>I28-E28</f>
        <v>0</v>
      </c>
      <c r="I28" s="84"/>
      <c r="J28" s="41">
        <f>I28*6%+I28</f>
        <v>0</v>
      </c>
      <c r="K28" s="59">
        <f>J28*5%+J28</f>
        <v>0</v>
      </c>
      <c r="L28" s="82"/>
      <c r="M28" s="83"/>
      <c r="N28" s="82"/>
    </row>
    <row r="29" spans="1:14" x14ac:dyDescent="0.25">
      <c r="A29" s="42" t="s">
        <v>244</v>
      </c>
      <c r="B29" s="42"/>
      <c r="C29" s="42"/>
      <c r="D29" s="42"/>
      <c r="E29" s="44">
        <f>E28</f>
        <v>0</v>
      </c>
      <c r="F29" s="44">
        <f t="shared" ref="F29:K29" si="9">F28</f>
        <v>240894.98</v>
      </c>
      <c r="G29" s="44">
        <f t="shared" si="9"/>
        <v>-240894.98</v>
      </c>
      <c r="H29" s="44">
        <f t="shared" si="9"/>
        <v>0</v>
      </c>
      <c r="I29" s="44">
        <f t="shared" si="9"/>
        <v>0</v>
      </c>
      <c r="J29" s="44">
        <f t="shared" si="9"/>
        <v>0</v>
      </c>
      <c r="K29" s="44">
        <f t="shared" si="9"/>
        <v>0</v>
      </c>
      <c r="L29" s="81"/>
      <c r="M29" s="10"/>
      <c r="N29" s="81"/>
    </row>
    <row r="30" spans="1:14" x14ac:dyDescent="0.25">
      <c r="A30" s="42"/>
      <c r="B30" s="42"/>
      <c r="C30" s="42"/>
      <c r="D30" s="42"/>
      <c r="E30" s="44"/>
      <c r="F30" s="44"/>
      <c r="G30" s="44"/>
      <c r="H30" s="44"/>
      <c r="I30" s="44"/>
      <c r="J30" s="44"/>
      <c r="K30" s="44"/>
    </row>
    <row r="31" spans="1:14" s="72" customFormat="1" x14ac:dyDescent="0.25">
      <c r="A31" s="56">
        <v>166</v>
      </c>
      <c r="B31" s="56">
        <v>37</v>
      </c>
      <c r="C31" s="57">
        <v>92</v>
      </c>
      <c r="D31" s="58" t="s">
        <v>211</v>
      </c>
      <c r="E31" s="59"/>
      <c r="F31" s="59">
        <v>240894.98</v>
      </c>
      <c r="G31" s="59">
        <f>E31-F31</f>
        <v>-240894.98</v>
      </c>
      <c r="H31" s="59">
        <f>I31-E31</f>
        <v>39336</v>
      </c>
      <c r="I31" s="84">
        <v>39336</v>
      </c>
      <c r="J31" s="41">
        <f>I31*6%+I31</f>
        <v>41696.160000000003</v>
      </c>
      <c r="K31" s="59">
        <f>J31*5%+J31</f>
        <v>43780.968000000001</v>
      </c>
      <c r="L31" s="82"/>
      <c r="M31" s="83"/>
      <c r="N31" s="82"/>
    </row>
    <row r="32" spans="1:14" x14ac:dyDescent="0.25">
      <c r="A32" s="42" t="s">
        <v>211</v>
      </c>
      <c r="B32" s="42"/>
      <c r="C32" s="42"/>
      <c r="D32" s="42"/>
      <c r="E32" s="44">
        <f>E31</f>
        <v>0</v>
      </c>
      <c r="F32" s="44">
        <f t="shared" ref="F32:K32" si="10">F31</f>
        <v>240894.98</v>
      </c>
      <c r="G32" s="44">
        <f t="shared" si="10"/>
        <v>-240894.98</v>
      </c>
      <c r="H32" s="44">
        <f t="shared" si="10"/>
        <v>39336</v>
      </c>
      <c r="I32" s="44">
        <f t="shared" si="10"/>
        <v>39336</v>
      </c>
      <c r="J32" s="44">
        <f t="shared" si="10"/>
        <v>41696.160000000003</v>
      </c>
      <c r="K32" s="44">
        <f t="shared" si="10"/>
        <v>43780.968000000001</v>
      </c>
      <c r="L32" s="81"/>
      <c r="M32" s="10"/>
      <c r="N32" s="81"/>
    </row>
    <row r="33" spans="1:12" x14ac:dyDescent="0.25">
      <c r="A33" s="1"/>
      <c r="B33" s="1"/>
      <c r="C33" s="1"/>
      <c r="D33" s="1"/>
      <c r="E33" s="45"/>
      <c r="F33" s="45"/>
      <c r="G33" s="40">
        <f>E33-F33</f>
        <v>0</v>
      </c>
      <c r="H33" s="45"/>
      <c r="I33" s="45"/>
      <c r="J33" s="45"/>
      <c r="K33" s="45"/>
    </row>
    <row r="34" spans="1:12" x14ac:dyDescent="0.25">
      <c r="A34" s="38">
        <v>166</v>
      </c>
      <c r="B34" s="38">
        <v>38</v>
      </c>
      <c r="C34" s="73"/>
      <c r="D34" s="1" t="s">
        <v>198</v>
      </c>
      <c r="E34" s="41"/>
      <c r="F34" s="41">
        <v>3900.83</v>
      </c>
      <c r="G34" s="40">
        <f>E34-F34</f>
        <v>-3900.83</v>
      </c>
      <c r="H34" s="41">
        <f t="shared" ref="H34:H39" si="11">I34-E34</f>
        <v>1895696</v>
      </c>
      <c r="I34" s="41">
        <f>1684751+210945</f>
        <v>1895696</v>
      </c>
      <c r="J34" s="41">
        <f t="shared" ref="J34:J39" si="12">I34*6%+I34</f>
        <v>2009437.76</v>
      </c>
      <c r="K34" s="41">
        <f t="shared" ref="K34:K39" si="13">J34*5%+J34</f>
        <v>2109909.648</v>
      </c>
      <c r="L34" s="76"/>
    </row>
    <row r="35" spans="1:12" x14ac:dyDescent="0.25">
      <c r="A35" s="38">
        <v>166</v>
      </c>
      <c r="B35" s="38">
        <v>38</v>
      </c>
      <c r="C35" s="86">
        <v>624</v>
      </c>
      <c r="D35" s="1" t="s">
        <v>214</v>
      </c>
      <c r="E35" s="41"/>
      <c r="F35" s="41"/>
      <c r="G35" s="40"/>
      <c r="H35" s="41">
        <f t="shared" si="11"/>
        <v>125610</v>
      </c>
      <c r="I35" s="41">
        <v>125610</v>
      </c>
      <c r="J35" s="41">
        <f t="shared" si="12"/>
        <v>133146.6</v>
      </c>
      <c r="K35" s="41">
        <f t="shared" si="13"/>
        <v>139803.93</v>
      </c>
      <c r="L35" s="76"/>
    </row>
    <row r="36" spans="1:12" x14ac:dyDescent="0.25">
      <c r="A36" s="38">
        <v>166</v>
      </c>
      <c r="B36" s="38">
        <v>38</v>
      </c>
      <c r="C36" s="39">
        <v>626</v>
      </c>
      <c r="D36" s="1" t="s">
        <v>197</v>
      </c>
      <c r="E36" s="41"/>
      <c r="F36" s="41"/>
      <c r="G36" s="40"/>
      <c r="H36" s="41">
        <f t="shared" si="11"/>
        <v>2693821</v>
      </c>
      <c r="I36" s="41">
        <v>2693821</v>
      </c>
      <c r="J36" s="41">
        <f t="shared" si="12"/>
        <v>2855450.26</v>
      </c>
      <c r="K36" s="41">
        <f t="shared" si="13"/>
        <v>2998222.7729999996</v>
      </c>
    </row>
    <row r="37" spans="1:12" x14ac:dyDescent="0.25">
      <c r="A37" s="38">
        <v>166</v>
      </c>
      <c r="B37" s="38">
        <v>38</v>
      </c>
      <c r="C37" s="39">
        <v>661</v>
      </c>
      <c r="D37" s="1" t="s">
        <v>176</v>
      </c>
      <c r="E37" s="41"/>
      <c r="F37" s="41">
        <v>3900.83</v>
      </c>
      <c r="G37" s="40">
        <f>E37-F37</f>
        <v>-3900.83</v>
      </c>
      <c r="H37" s="41">
        <f t="shared" si="11"/>
        <v>131725</v>
      </c>
      <c r="I37" s="41">
        <f>24364+175+107186</f>
        <v>131725</v>
      </c>
      <c r="J37" s="41">
        <f t="shared" si="12"/>
        <v>139628.5</v>
      </c>
      <c r="K37" s="41">
        <f t="shared" si="13"/>
        <v>146609.92499999999</v>
      </c>
    </row>
    <row r="38" spans="1:12" x14ac:dyDescent="0.25">
      <c r="A38" s="38">
        <v>166</v>
      </c>
      <c r="B38" s="38">
        <v>38</v>
      </c>
      <c r="C38" s="39">
        <v>681</v>
      </c>
      <c r="D38" s="1" t="s">
        <v>177</v>
      </c>
      <c r="E38" s="41"/>
      <c r="F38" s="41">
        <v>545.70000000000005</v>
      </c>
      <c r="G38" s="40">
        <f>E38-F38</f>
        <v>-545.70000000000005</v>
      </c>
      <c r="H38" s="41">
        <f t="shared" si="11"/>
        <v>0</v>
      </c>
      <c r="I38" s="41">
        <v>0</v>
      </c>
      <c r="J38" s="41">
        <f t="shared" si="12"/>
        <v>0</v>
      </c>
      <c r="K38" s="41">
        <f t="shared" si="13"/>
        <v>0</v>
      </c>
    </row>
    <row r="39" spans="1:12" x14ac:dyDescent="0.25">
      <c r="A39" s="38">
        <v>166</v>
      </c>
      <c r="B39" s="48">
        <v>38</v>
      </c>
      <c r="C39" s="49">
        <v>730</v>
      </c>
      <c r="D39" s="50" t="s">
        <v>20</v>
      </c>
      <c r="E39" s="51"/>
      <c r="F39" s="51">
        <v>240894.98</v>
      </c>
      <c r="G39" s="51">
        <f>E39-F39</f>
        <v>-240894.98</v>
      </c>
      <c r="H39" s="41">
        <f t="shared" si="11"/>
        <v>1540104</v>
      </c>
      <c r="I39" s="51">
        <v>1540104</v>
      </c>
      <c r="J39" s="41">
        <f t="shared" si="12"/>
        <v>1632510.24</v>
      </c>
      <c r="K39" s="41">
        <f t="shared" si="13"/>
        <v>1714135.7520000001</v>
      </c>
    </row>
    <row r="40" spans="1:12" x14ac:dyDescent="0.25">
      <c r="A40" s="42" t="s">
        <v>43</v>
      </c>
      <c r="B40" s="42"/>
      <c r="C40" s="42"/>
      <c r="D40" s="42"/>
      <c r="E40" s="44">
        <f t="shared" ref="E40:K40" si="14">SUM(E34:E39)</f>
        <v>0</v>
      </c>
      <c r="F40" s="44">
        <f t="shared" si="14"/>
        <v>249242.34000000003</v>
      </c>
      <c r="G40" s="44">
        <f t="shared" si="14"/>
        <v>-249242.34000000003</v>
      </c>
      <c r="H40" s="44">
        <f t="shared" si="14"/>
        <v>6386956</v>
      </c>
      <c r="I40" s="44">
        <f t="shared" si="14"/>
        <v>6386956</v>
      </c>
      <c r="J40" s="44">
        <f t="shared" si="14"/>
        <v>6770173.3599999994</v>
      </c>
      <c r="K40" s="44">
        <f t="shared" si="14"/>
        <v>7108682.0279999999</v>
      </c>
    </row>
    <row r="41" spans="1:12" x14ac:dyDescent="0.25">
      <c r="A41" s="1"/>
      <c r="B41" s="1"/>
      <c r="C41" s="1"/>
      <c r="D41" s="1"/>
      <c r="E41" s="41"/>
      <c r="F41" s="41"/>
      <c r="G41" s="40">
        <f>E41-F41</f>
        <v>0</v>
      </c>
      <c r="H41" s="41"/>
      <c r="I41" s="41"/>
      <c r="J41" s="41"/>
      <c r="K41" s="41"/>
    </row>
    <row r="42" spans="1:12" x14ac:dyDescent="0.25">
      <c r="A42" s="38">
        <v>166</v>
      </c>
      <c r="B42" s="38">
        <v>41</v>
      </c>
      <c r="C42" s="39">
        <v>628</v>
      </c>
      <c r="D42" s="1" t="s">
        <v>169</v>
      </c>
      <c r="E42" s="41"/>
      <c r="F42" s="41">
        <v>280939.42</v>
      </c>
      <c r="G42" s="40">
        <f>E42-F42</f>
        <v>-280939.42</v>
      </c>
      <c r="H42" s="41">
        <f>I42-E42</f>
        <v>0</v>
      </c>
      <c r="I42" s="41">
        <v>0</v>
      </c>
      <c r="J42" s="41">
        <f>I42*6%+I42</f>
        <v>0</v>
      </c>
      <c r="K42" s="41">
        <f>J42*5%+J42</f>
        <v>0</v>
      </c>
    </row>
    <row r="43" spans="1:12" x14ac:dyDescent="0.25">
      <c r="A43" s="42" t="s">
        <v>170</v>
      </c>
      <c r="B43" s="42"/>
      <c r="C43" s="42"/>
      <c r="D43" s="42"/>
      <c r="E43" s="44">
        <f t="shared" ref="E43:K43" si="15">SUM(E42)</f>
        <v>0</v>
      </c>
      <c r="F43" s="44">
        <f t="shared" si="15"/>
        <v>280939.42</v>
      </c>
      <c r="G43" s="44">
        <f t="shared" si="15"/>
        <v>-280939.42</v>
      </c>
      <c r="H43" s="44">
        <f t="shared" si="15"/>
        <v>0</v>
      </c>
      <c r="I43" s="44">
        <f t="shared" si="15"/>
        <v>0</v>
      </c>
      <c r="J43" s="44">
        <f t="shared" si="15"/>
        <v>0</v>
      </c>
      <c r="K43" s="44">
        <f t="shared" si="15"/>
        <v>0</v>
      </c>
    </row>
    <row r="44" spans="1:12" x14ac:dyDescent="0.25">
      <c r="A44" s="42"/>
      <c r="B44" s="42"/>
      <c r="C44" s="42"/>
      <c r="D44" s="42"/>
      <c r="E44" s="44"/>
      <c r="F44" s="44"/>
      <c r="G44" s="44"/>
      <c r="H44" s="44"/>
      <c r="I44" s="44"/>
      <c r="J44" s="44"/>
      <c r="K44" s="44"/>
    </row>
    <row r="45" spans="1:12" x14ac:dyDescent="0.25">
      <c r="A45" s="38">
        <v>166</v>
      </c>
      <c r="B45" s="38">
        <v>42</v>
      </c>
      <c r="C45" s="39">
        <v>755</v>
      </c>
      <c r="D45" s="61" t="s">
        <v>201</v>
      </c>
      <c r="E45" s="44"/>
      <c r="F45" s="44"/>
      <c r="G45" s="44"/>
      <c r="H45" s="41">
        <f>I45-E45</f>
        <v>13700315</v>
      </c>
      <c r="I45" s="44">
        <v>13700315</v>
      </c>
      <c r="J45" s="41">
        <f>I45*6%+I45</f>
        <v>14522333.9</v>
      </c>
      <c r="K45" s="41">
        <f>J45*5%+J45</f>
        <v>15248450.595000001</v>
      </c>
    </row>
    <row r="46" spans="1:12" x14ac:dyDescent="0.25">
      <c r="A46" s="38">
        <v>166</v>
      </c>
      <c r="B46" s="38">
        <v>42</v>
      </c>
      <c r="C46" s="39">
        <v>444</v>
      </c>
      <c r="D46" s="61" t="s">
        <v>200</v>
      </c>
      <c r="E46" s="44"/>
      <c r="F46" s="44"/>
      <c r="G46" s="44"/>
      <c r="H46" s="41">
        <f>I46-E46</f>
        <v>5871</v>
      </c>
      <c r="I46" s="44">
        <v>5871</v>
      </c>
      <c r="J46" s="41">
        <f>I46*6%+I46</f>
        <v>6223.26</v>
      </c>
      <c r="K46" s="41">
        <f>J46*5%+J46</f>
        <v>6534.4230000000007</v>
      </c>
    </row>
    <row r="47" spans="1:12" x14ac:dyDescent="0.25">
      <c r="A47" s="38">
        <v>166</v>
      </c>
      <c r="B47" s="38">
        <v>42</v>
      </c>
      <c r="C47" s="39">
        <v>593</v>
      </c>
      <c r="D47" s="1" t="s">
        <v>199</v>
      </c>
      <c r="E47" s="41"/>
      <c r="F47" s="41">
        <v>280939.42</v>
      </c>
      <c r="G47" s="40">
        <f>E47-F47</f>
        <v>-280939.42</v>
      </c>
      <c r="H47" s="41">
        <f>I47-E47</f>
        <v>4335395</v>
      </c>
      <c r="I47" s="41">
        <v>4335395</v>
      </c>
      <c r="J47" s="41">
        <f>I47*6%+I47</f>
        <v>4595518.7</v>
      </c>
      <c r="K47" s="41">
        <f>J47*5%+J47</f>
        <v>4825294.6349999998</v>
      </c>
    </row>
    <row r="48" spans="1:12" x14ac:dyDescent="0.25">
      <c r="A48" s="42" t="s">
        <v>69</v>
      </c>
      <c r="B48" s="42"/>
      <c r="C48" s="42"/>
      <c r="D48" s="42"/>
      <c r="E48" s="44">
        <f>SUM(E45:E47)</f>
        <v>0</v>
      </c>
      <c r="F48" s="44">
        <f t="shared" ref="F48:K48" si="16">SUM(F45:F47)</f>
        <v>280939.42</v>
      </c>
      <c r="G48" s="44">
        <f t="shared" si="16"/>
        <v>-280939.42</v>
      </c>
      <c r="H48" s="44">
        <f t="shared" si="16"/>
        <v>18041581</v>
      </c>
      <c r="I48" s="44">
        <f t="shared" si="16"/>
        <v>18041581</v>
      </c>
      <c r="J48" s="44">
        <f t="shared" si="16"/>
        <v>19124075.859999999</v>
      </c>
      <c r="K48" s="44">
        <f t="shared" si="16"/>
        <v>20080279.653000001</v>
      </c>
    </row>
    <row r="49" spans="1:11" x14ac:dyDescent="0.25">
      <c r="A49" s="1"/>
      <c r="B49" s="1"/>
      <c r="C49" s="1"/>
      <c r="D49" s="1"/>
      <c r="E49" s="41"/>
      <c r="F49" s="41"/>
      <c r="G49" s="40">
        <f>E49-F49</f>
        <v>0</v>
      </c>
      <c r="H49" s="41"/>
      <c r="I49" s="41"/>
      <c r="J49" s="41"/>
      <c r="K49" s="41"/>
    </row>
    <row r="50" spans="1:11" x14ac:dyDescent="0.25">
      <c r="A50" s="1">
        <v>166</v>
      </c>
      <c r="B50" s="38">
        <v>44</v>
      </c>
      <c r="C50" s="39">
        <v>60</v>
      </c>
      <c r="D50" s="1" t="s">
        <v>80</v>
      </c>
      <c r="E50" s="41"/>
      <c r="F50" s="41"/>
      <c r="G50" s="40">
        <f>E50-F50</f>
        <v>0</v>
      </c>
      <c r="H50" s="41">
        <f>I50-E50</f>
        <v>65091</v>
      </c>
      <c r="I50" s="41">
        <v>65091</v>
      </c>
      <c r="J50" s="41">
        <f t="shared" ref="J50:J68" si="17">I50*6%+I50</f>
        <v>68996.460000000006</v>
      </c>
      <c r="K50" s="41">
        <f>J50*5%+J50</f>
        <v>72446.28300000001</v>
      </c>
    </row>
    <row r="51" spans="1:11" x14ac:dyDescent="0.25">
      <c r="A51" s="38">
        <v>166</v>
      </c>
      <c r="B51" s="38">
        <v>44</v>
      </c>
      <c r="C51" s="39">
        <v>240</v>
      </c>
      <c r="D51" s="1" t="s">
        <v>62</v>
      </c>
      <c r="E51" s="41"/>
      <c r="F51" s="41">
        <v>1006038.89</v>
      </c>
      <c r="G51" s="40">
        <f>E51-F51</f>
        <v>-1006038.89</v>
      </c>
      <c r="H51" s="41">
        <f>I51-E51</f>
        <v>1634</v>
      </c>
      <c r="I51" s="41">
        <v>1634</v>
      </c>
      <c r="J51" s="41">
        <f t="shared" si="17"/>
        <v>1732.04</v>
      </c>
      <c r="K51" s="41">
        <f>J51*5%+J51</f>
        <v>1818.6420000000001</v>
      </c>
    </row>
    <row r="52" spans="1:11" x14ac:dyDescent="0.25">
      <c r="A52" s="38">
        <v>166</v>
      </c>
      <c r="B52" s="38">
        <v>44</v>
      </c>
      <c r="C52" s="39">
        <v>263</v>
      </c>
      <c r="D52" s="1" t="s">
        <v>0</v>
      </c>
      <c r="E52" s="41"/>
      <c r="F52" s="41"/>
      <c r="G52" s="40"/>
      <c r="H52" s="41">
        <f t="shared" ref="H52:H68" si="18">I52-E52</f>
        <v>5180</v>
      </c>
      <c r="I52" s="41">
        <v>5180</v>
      </c>
      <c r="J52" s="41">
        <f t="shared" si="17"/>
        <v>5490.8</v>
      </c>
      <c r="K52" s="41">
        <f t="shared" ref="K52:K68" si="19">J52*5%+J52</f>
        <v>5765.34</v>
      </c>
    </row>
    <row r="53" spans="1:11" x14ac:dyDescent="0.25">
      <c r="A53" s="38">
        <v>166</v>
      </c>
      <c r="B53" s="38">
        <v>44</v>
      </c>
      <c r="C53" s="39">
        <v>270</v>
      </c>
      <c r="D53" s="1" t="s">
        <v>24</v>
      </c>
      <c r="E53" s="41"/>
      <c r="F53" s="41">
        <v>230373.08</v>
      </c>
      <c r="G53" s="40">
        <f>E53-F53</f>
        <v>-230373.08</v>
      </c>
      <c r="H53" s="41">
        <f t="shared" si="18"/>
        <v>15014</v>
      </c>
      <c r="I53" s="41">
        <v>15014</v>
      </c>
      <c r="J53" s="41">
        <f t="shared" si="17"/>
        <v>15914.84</v>
      </c>
      <c r="K53" s="41">
        <f t="shared" si="19"/>
        <v>16710.581999999999</v>
      </c>
    </row>
    <row r="54" spans="1:11" x14ac:dyDescent="0.25">
      <c r="A54" s="38">
        <v>166</v>
      </c>
      <c r="B54" s="38">
        <v>44</v>
      </c>
      <c r="C54" s="39">
        <v>276</v>
      </c>
      <c r="D54" s="1" t="s">
        <v>202</v>
      </c>
      <c r="E54" s="41"/>
      <c r="F54" s="41"/>
      <c r="G54" s="40"/>
      <c r="H54" s="41">
        <f t="shared" si="18"/>
        <v>595</v>
      </c>
      <c r="I54" s="41">
        <v>595</v>
      </c>
      <c r="J54" s="41">
        <f t="shared" si="17"/>
        <v>630.70000000000005</v>
      </c>
      <c r="K54" s="41">
        <f t="shared" si="19"/>
        <v>662.23500000000001</v>
      </c>
    </row>
    <row r="55" spans="1:11" x14ac:dyDescent="0.25">
      <c r="A55" s="38">
        <v>166</v>
      </c>
      <c r="B55" s="38">
        <v>44</v>
      </c>
      <c r="C55" s="39">
        <v>278</v>
      </c>
      <c r="D55" s="1" t="s">
        <v>25</v>
      </c>
      <c r="E55" s="41"/>
      <c r="F55" s="41"/>
      <c r="G55" s="40"/>
      <c r="H55" s="41">
        <f t="shared" si="18"/>
        <v>173352</v>
      </c>
      <c r="I55" s="41">
        <v>173352</v>
      </c>
      <c r="J55" s="41">
        <f t="shared" si="17"/>
        <v>183753.12</v>
      </c>
      <c r="K55" s="41">
        <f t="shared" si="19"/>
        <v>192940.77599999998</v>
      </c>
    </row>
    <row r="56" spans="1:11" ht="14.25" customHeight="1" x14ac:dyDescent="0.25">
      <c r="A56" s="38">
        <v>166</v>
      </c>
      <c r="B56" s="38">
        <v>44</v>
      </c>
      <c r="C56" s="54">
        <v>360</v>
      </c>
      <c r="D56" s="55" t="s">
        <v>57</v>
      </c>
      <c r="E56" s="51"/>
      <c r="F56" s="51">
        <v>270867.63</v>
      </c>
      <c r="G56" s="51">
        <f>E56-F56</f>
        <v>-270867.63</v>
      </c>
      <c r="H56" s="41">
        <f t="shared" si="18"/>
        <v>9116</v>
      </c>
      <c r="I56" s="51">
        <v>9116</v>
      </c>
      <c r="J56" s="41">
        <f t="shared" si="17"/>
        <v>9662.9599999999991</v>
      </c>
      <c r="K56" s="41">
        <f t="shared" si="19"/>
        <v>10146.107999999998</v>
      </c>
    </row>
    <row r="57" spans="1:11" x14ac:dyDescent="0.25">
      <c r="A57" s="38">
        <v>166</v>
      </c>
      <c r="B57" s="38">
        <v>44</v>
      </c>
      <c r="C57" s="54">
        <v>380</v>
      </c>
      <c r="D57" s="55" t="s">
        <v>190</v>
      </c>
      <c r="E57" s="51"/>
      <c r="F57" s="51"/>
      <c r="G57" s="51"/>
      <c r="H57" s="41">
        <f t="shared" si="18"/>
        <v>35960</v>
      </c>
      <c r="I57" s="51">
        <v>35960</v>
      </c>
      <c r="J57" s="41">
        <f t="shared" si="17"/>
        <v>38117.599999999999</v>
      </c>
      <c r="K57" s="41">
        <f t="shared" si="19"/>
        <v>40023.479999999996</v>
      </c>
    </row>
    <row r="58" spans="1:11" x14ac:dyDescent="0.25">
      <c r="A58" s="38">
        <v>166</v>
      </c>
      <c r="B58" s="38">
        <v>44</v>
      </c>
      <c r="C58" s="54">
        <v>386</v>
      </c>
      <c r="D58" s="55" t="s">
        <v>10</v>
      </c>
      <c r="E58" s="51"/>
      <c r="F58" s="51"/>
      <c r="G58" s="51"/>
      <c r="H58" s="41">
        <f t="shared" si="18"/>
        <v>100299</v>
      </c>
      <c r="I58" s="51">
        <v>100299</v>
      </c>
      <c r="J58" s="41">
        <f t="shared" si="17"/>
        <v>106316.94</v>
      </c>
      <c r="K58" s="41">
        <f t="shared" si="19"/>
        <v>111632.787</v>
      </c>
    </row>
    <row r="59" spans="1:11" x14ac:dyDescent="0.25">
      <c r="A59" s="38">
        <v>166</v>
      </c>
      <c r="B59" s="38">
        <v>44</v>
      </c>
      <c r="C59" s="54">
        <v>585</v>
      </c>
      <c r="D59" s="55" t="s">
        <v>179</v>
      </c>
      <c r="E59" s="51"/>
      <c r="F59" s="51">
        <v>736940.9</v>
      </c>
      <c r="G59" s="51">
        <f>E59-F59</f>
        <v>-736940.9</v>
      </c>
      <c r="H59" s="41">
        <f t="shared" si="18"/>
        <v>0</v>
      </c>
      <c r="I59" s="51"/>
      <c r="J59" s="41">
        <f t="shared" si="17"/>
        <v>0</v>
      </c>
      <c r="K59" s="41">
        <f t="shared" si="19"/>
        <v>0</v>
      </c>
    </row>
    <row r="60" spans="1:11" x14ac:dyDescent="0.25">
      <c r="A60" s="38">
        <v>166</v>
      </c>
      <c r="B60" s="38">
        <v>44</v>
      </c>
      <c r="C60" s="54">
        <v>587</v>
      </c>
      <c r="D60" s="55" t="s">
        <v>203</v>
      </c>
      <c r="E60" s="51"/>
      <c r="F60" s="51"/>
      <c r="G60" s="51"/>
      <c r="H60" s="41">
        <f t="shared" si="18"/>
        <v>800</v>
      </c>
      <c r="I60" s="51">
        <v>800</v>
      </c>
      <c r="J60" s="41">
        <f t="shared" si="17"/>
        <v>848</v>
      </c>
      <c r="K60" s="41">
        <f t="shared" si="19"/>
        <v>890.4</v>
      </c>
    </row>
    <row r="61" spans="1:11" x14ac:dyDescent="0.25">
      <c r="A61" s="38">
        <v>166</v>
      </c>
      <c r="B61" s="38">
        <v>44</v>
      </c>
      <c r="C61" s="54">
        <v>588</v>
      </c>
      <c r="D61" s="55" t="s">
        <v>204</v>
      </c>
      <c r="E61" s="51"/>
      <c r="F61" s="51"/>
      <c r="G61" s="51"/>
      <c r="H61" s="41">
        <f t="shared" si="18"/>
        <v>21140</v>
      </c>
      <c r="I61" s="51">
        <v>21140</v>
      </c>
      <c r="J61" s="41">
        <f t="shared" si="17"/>
        <v>22408.400000000001</v>
      </c>
      <c r="K61" s="41">
        <f t="shared" si="19"/>
        <v>23528.82</v>
      </c>
    </row>
    <row r="62" spans="1:11" x14ac:dyDescent="0.25">
      <c r="A62" s="38">
        <v>166</v>
      </c>
      <c r="B62" s="38">
        <v>44</v>
      </c>
      <c r="C62" s="54">
        <v>589</v>
      </c>
      <c r="D62" s="55" t="s">
        <v>205</v>
      </c>
      <c r="E62" s="51"/>
      <c r="F62" s="51"/>
      <c r="G62" s="51"/>
      <c r="H62" s="41">
        <f t="shared" si="18"/>
        <v>2821</v>
      </c>
      <c r="I62" s="51">
        <v>2821</v>
      </c>
      <c r="J62" s="41">
        <f t="shared" si="17"/>
        <v>2990.26</v>
      </c>
      <c r="K62" s="41">
        <f t="shared" si="19"/>
        <v>3139.7730000000001</v>
      </c>
    </row>
    <row r="63" spans="1:11" x14ac:dyDescent="0.25">
      <c r="A63" s="38">
        <v>166</v>
      </c>
      <c r="B63" s="38">
        <v>44</v>
      </c>
      <c r="C63" s="54">
        <v>590</v>
      </c>
      <c r="D63" s="55" t="s">
        <v>206</v>
      </c>
      <c r="E63" s="51"/>
      <c r="F63" s="51"/>
      <c r="G63" s="51"/>
      <c r="H63" s="41">
        <f t="shared" si="18"/>
        <v>946</v>
      </c>
      <c r="I63" s="51">
        <v>946</v>
      </c>
      <c r="J63" s="41">
        <f t="shared" si="17"/>
        <v>1002.76</v>
      </c>
      <c r="K63" s="41">
        <f t="shared" si="19"/>
        <v>1052.8979999999999</v>
      </c>
    </row>
    <row r="64" spans="1:11" x14ac:dyDescent="0.25">
      <c r="A64" s="38">
        <v>166</v>
      </c>
      <c r="B64" s="38">
        <v>44</v>
      </c>
      <c r="C64" s="54">
        <v>591</v>
      </c>
      <c r="D64" s="55" t="s">
        <v>207</v>
      </c>
      <c r="E64" s="51"/>
      <c r="F64" s="51"/>
      <c r="G64" s="51"/>
      <c r="H64" s="41">
        <f t="shared" si="18"/>
        <v>27680</v>
      </c>
      <c r="I64" s="51">
        <v>27680</v>
      </c>
      <c r="J64" s="41">
        <f t="shared" si="17"/>
        <v>29340.799999999999</v>
      </c>
      <c r="K64" s="41">
        <f t="shared" si="19"/>
        <v>30807.84</v>
      </c>
    </row>
    <row r="65" spans="1:11" x14ac:dyDescent="0.25">
      <c r="A65" s="38">
        <v>166</v>
      </c>
      <c r="B65" s="53">
        <v>44</v>
      </c>
      <c r="C65" s="54">
        <v>592</v>
      </c>
      <c r="D65" s="55" t="s">
        <v>208</v>
      </c>
      <c r="E65" s="51"/>
      <c r="F65" s="51">
        <v>736940.9</v>
      </c>
      <c r="G65" s="51">
        <f>E65-F65</f>
        <v>-736940.9</v>
      </c>
      <c r="H65" s="41">
        <f t="shared" si="18"/>
        <v>68302</v>
      </c>
      <c r="I65" s="51">
        <v>68302</v>
      </c>
      <c r="J65" s="41">
        <f t="shared" si="17"/>
        <v>72400.12</v>
      </c>
      <c r="K65" s="41">
        <f t="shared" si="19"/>
        <v>76020.125999999989</v>
      </c>
    </row>
    <row r="66" spans="1:11" x14ac:dyDescent="0.25">
      <c r="A66" s="38">
        <v>166</v>
      </c>
      <c r="B66" s="53">
        <v>44</v>
      </c>
      <c r="C66" s="75"/>
      <c r="D66" s="55" t="s">
        <v>216</v>
      </c>
      <c r="E66" s="51"/>
      <c r="F66" s="51"/>
      <c r="G66" s="51"/>
      <c r="H66" s="41">
        <f t="shared" si="18"/>
        <v>1186</v>
      </c>
      <c r="I66" s="51">
        <v>1186</v>
      </c>
      <c r="J66" s="41">
        <f t="shared" si="17"/>
        <v>1257.1600000000001</v>
      </c>
      <c r="K66" s="41">
        <f t="shared" si="19"/>
        <v>1320.018</v>
      </c>
    </row>
    <row r="67" spans="1:11" x14ac:dyDescent="0.25">
      <c r="A67" s="46">
        <v>166</v>
      </c>
      <c r="B67" s="46">
        <v>44</v>
      </c>
      <c r="C67" s="74"/>
      <c r="D67" s="55" t="s">
        <v>215</v>
      </c>
      <c r="E67" s="47"/>
      <c r="F67" s="47"/>
      <c r="G67" s="40">
        <f>E67-F67</f>
        <v>0</v>
      </c>
      <c r="H67" s="41">
        <f t="shared" si="18"/>
        <v>1124</v>
      </c>
      <c r="I67" s="47">
        <v>1124</v>
      </c>
      <c r="J67" s="41">
        <f t="shared" si="17"/>
        <v>1191.44</v>
      </c>
      <c r="K67" s="41">
        <f t="shared" si="19"/>
        <v>1251.0120000000002</v>
      </c>
    </row>
    <row r="68" spans="1:11" x14ac:dyDescent="0.25">
      <c r="A68" s="46">
        <v>166</v>
      </c>
      <c r="B68" s="46">
        <v>44</v>
      </c>
      <c r="C68" s="74"/>
      <c r="D68" s="55" t="s">
        <v>220</v>
      </c>
      <c r="E68" s="47"/>
      <c r="F68" s="47"/>
      <c r="G68" s="40"/>
      <c r="H68" s="41">
        <f t="shared" si="18"/>
        <v>45627</v>
      </c>
      <c r="I68" s="47">
        <v>45627</v>
      </c>
      <c r="J68" s="41">
        <f t="shared" si="17"/>
        <v>48364.62</v>
      </c>
      <c r="K68" s="41">
        <f t="shared" si="19"/>
        <v>50782.851000000002</v>
      </c>
    </row>
    <row r="69" spans="1:11" x14ac:dyDescent="0.25">
      <c r="A69" s="46"/>
      <c r="B69" s="46"/>
      <c r="C69" s="87"/>
      <c r="D69" s="55"/>
      <c r="E69" s="47"/>
      <c r="F69" s="47"/>
      <c r="G69" s="40"/>
      <c r="H69" s="41"/>
      <c r="I69" s="47"/>
      <c r="J69" s="41"/>
      <c r="K69" s="41"/>
    </row>
    <row r="70" spans="1:11" x14ac:dyDescent="0.25">
      <c r="A70" s="42" t="s">
        <v>42</v>
      </c>
      <c r="B70" s="42"/>
      <c r="C70" s="42"/>
      <c r="D70" s="42"/>
      <c r="E70" s="44">
        <f>SUM(E50:E67)</f>
        <v>0</v>
      </c>
      <c r="F70" s="44">
        <f>SUM(F50:F67)</f>
        <v>2981161.4</v>
      </c>
      <c r="G70" s="44">
        <f>SUM(G50:G67)</f>
        <v>-2981161.4</v>
      </c>
      <c r="H70" s="44">
        <f>SUM(H50:H68)</f>
        <v>575867</v>
      </c>
      <c r="I70" s="44">
        <f>SUM(I50:I68)</f>
        <v>575867</v>
      </c>
      <c r="J70" s="44">
        <f>SUM(J50:J68)</f>
        <v>610419.02</v>
      </c>
      <c r="K70" s="44">
        <f>SUM(K50:K68)</f>
        <v>640939.97100000014</v>
      </c>
    </row>
    <row r="71" spans="1:11" x14ac:dyDescent="0.25">
      <c r="A71" s="1"/>
      <c r="B71" s="1"/>
      <c r="C71" s="1"/>
      <c r="D71" s="1"/>
      <c r="E71" s="41"/>
      <c r="F71" s="41"/>
      <c r="G71" s="40">
        <f>E71-F71</f>
        <v>0</v>
      </c>
      <c r="H71" s="41"/>
      <c r="I71" s="41"/>
      <c r="J71" s="41"/>
      <c r="K71" s="41"/>
    </row>
    <row r="72" spans="1:11" x14ac:dyDescent="0.25">
      <c r="A72" s="42" t="s">
        <v>46</v>
      </c>
      <c r="B72" s="42"/>
      <c r="C72" s="42"/>
      <c r="D72" s="42"/>
      <c r="E72" s="44">
        <f t="shared" ref="E72:K72" si="20">E70+E43+E40+E26+E17</f>
        <v>0</v>
      </c>
      <c r="F72" s="44">
        <f t="shared" si="20"/>
        <v>6893029.75</v>
      </c>
      <c r="G72" s="44">
        <f t="shared" si="20"/>
        <v>-6893029.75</v>
      </c>
      <c r="H72" s="44">
        <f t="shared" si="20"/>
        <v>20559460</v>
      </c>
      <c r="I72" s="44">
        <f t="shared" si="20"/>
        <v>20559460</v>
      </c>
      <c r="J72" s="44">
        <f t="shared" si="20"/>
        <v>21793027.600000001</v>
      </c>
      <c r="K72" s="44">
        <f t="shared" si="20"/>
        <v>23315052.036599997</v>
      </c>
    </row>
  </sheetData>
  <mergeCells count="1">
    <mergeCell ref="A4:C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G25"/>
  <sheetViews>
    <sheetView zoomScaleNormal="100" workbookViewId="0">
      <selection activeCell="F23" sqref="F23"/>
    </sheetView>
  </sheetViews>
  <sheetFormatPr defaultColWidth="9.28515625" defaultRowHeight="15" x14ac:dyDescent="0.25"/>
  <cols>
    <col min="1" max="2" width="4.7109375" style="19" customWidth="1"/>
    <col min="3" max="3" width="5.28515625" style="97" customWidth="1"/>
    <col min="4" max="4" width="29.42578125" style="19" customWidth="1"/>
    <col min="5" max="5" width="13.7109375" style="63" customWidth="1"/>
    <col min="6" max="6" width="17.7109375" style="63" customWidth="1"/>
    <col min="7" max="7" width="15.28515625" style="63" customWidth="1"/>
    <col min="8" max="16384" width="9.28515625" style="19"/>
  </cols>
  <sheetData>
    <row r="1" spans="1:7" s="18" customFormat="1" ht="18.75" x14ac:dyDescent="0.3">
      <c r="A1" s="15" t="s">
        <v>528</v>
      </c>
      <c r="B1" s="15"/>
      <c r="C1" s="142"/>
      <c r="D1" s="15"/>
      <c r="E1" s="105"/>
      <c r="F1" s="105"/>
      <c r="G1" s="105"/>
    </row>
    <row r="2" spans="1:7" s="18" customFormat="1" ht="35.25" customHeight="1" x14ac:dyDescent="0.25">
      <c r="A2" s="905" t="s">
        <v>47</v>
      </c>
      <c r="B2" s="905"/>
      <c r="C2" s="905"/>
      <c r="D2" s="159" t="s">
        <v>39</v>
      </c>
      <c r="E2" s="227" t="s">
        <v>393</v>
      </c>
      <c r="F2" s="227" t="s">
        <v>442</v>
      </c>
      <c r="G2" s="227" t="s">
        <v>556</v>
      </c>
    </row>
    <row r="3" spans="1:7" s="18" customFormat="1" hidden="1" x14ac:dyDescent="0.25">
      <c r="A3" s="48">
        <v>131</v>
      </c>
      <c r="B3" s="48">
        <v>30</v>
      </c>
      <c r="C3" s="95">
        <v>2</v>
      </c>
      <c r="D3" s="50" t="s">
        <v>2</v>
      </c>
      <c r="E3" s="51"/>
      <c r="F3" s="239">
        <f>E3*6.5%+E3</f>
        <v>0</v>
      </c>
      <c r="G3" s="51">
        <f>F3*5%+F3</f>
        <v>0</v>
      </c>
    </row>
    <row r="4" spans="1:7" s="18" customFormat="1" hidden="1" x14ac:dyDescent="0.25">
      <c r="A4" s="48">
        <v>131</v>
      </c>
      <c r="B4" s="48">
        <v>30</v>
      </c>
      <c r="C4" s="95">
        <v>6</v>
      </c>
      <c r="D4" s="50" t="s">
        <v>3</v>
      </c>
      <c r="E4" s="51"/>
      <c r="F4" s="239">
        <f>E4*6.5%+E4</f>
        <v>0</v>
      </c>
      <c r="G4" s="51">
        <f>F4*5%+F4</f>
        <v>0</v>
      </c>
    </row>
    <row r="5" spans="1:7" s="18" customFormat="1" hidden="1" x14ac:dyDescent="0.25">
      <c r="A5" s="48">
        <v>131</v>
      </c>
      <c r="B5" s="48">
        <v>30</v>
      </c>
      <c r="C5" s="95">
        <v>15</v>
      </c>
      <c r="D5" s="50" t="s">
        <v>4</v>
      </c>
      <c r="E5" s="51"/>
      <c r="F5" s="239">
        <f>E5*6.5%+E5</f>
        <v>0</v>
      </c>
      <c r="G5" s="51">
        <f>F5*5%+F5</f>
        <v>0</v>
      </c>
    </row>
    <row r="6" spans="1:7" s="18" customFormat="1" hidden="1" x14ac:dyDescent="0.25">
      <c r="A6" s="48">
        <v>131</v>
      </c>
      <c r="B6" s="48">
        <v>30</v>
      </c>
      <c r="C6" s="95">
        <v>30</v>
      </c>
      <c r="D6" s="50" t="s">
        <v>5</v>
      </c>
      <c r="E6" s="51"/>
      <c r="F6" s="239">
        <f>E6*6.5%+E6</f>
        <v>0</v>
      </c>
      <c r="G6" s="51">
        <f>F6*5%+F6</f>
        <v>0</v>
      </c>
    </row>
    <row r="7" spans="1:7" s="18" customFormat="1" hidden="1" x14ac:dyDescent="0.25">
      <c r="A7" s="48"/>
      <c r="B7" s="48"/>
      <c r="C7" s="95"/>
      <c r="D7" s="50"/>
      <c r="E7" s="51"/>
      <c r="F7" s="177"/>
      <c r="G7" s="51"/>
    </row>
    <row r="8" spans="1:7" s="134" customFormat="1" hidden="1" x14ac:dyDescent="0.25">
      <c r="A8" s="60" t="s">
        <v>40</v>
      </c>
      <c r="B8" s="60"/>
      <c r="C8" s="139"/>
      <c r="D8" s="60"/>
      <c r="E8" s="44">
        <f>SUM(E3:E6)</f>
        <v>0</v>
      </c>
      <c r="F8" s="178">
        <f>SUM(F3:F6)</f>
        <v>0</v>
      </c>
      <c r="G8" s="44">
        <f>SUM(G3:G6)</f>
        <v>0</v>
      </c>
    </row>
    <row r="9" spans="1:7" s="18" customFormat="1" hidden="1" x14ac:dyDescent="0.25">
      <c r="A9" s="50"/>
      <c r="B9" s="50"/>
      <c r="C9" s="96"/>
      <c r="D9" s="50"/>
      <c r="E9" s="51"/>
      <c r="F9" s="177"/>
      <c r="G9" s="51"/>
    </row>
    <row r="10" spans="1:7" s="18" customFormat="1" hidden="1" x14ac:dyDescent="0.25">
      <c r="A10" s="48">
        <v>131</v>
      </c>
      <c r="B10" s="48">
        <v>31</v>
      </c>
      <c r="C10" s="95">
        <v>18</v>
      </c>
      <c r="D10" s="50" t="s">
        <v>6</v>
      </c>
      <c r="E10" s="51"/>
      <c r="F10" s="239">
        <f>E10*6.5%+E10</f>
        <v>0</v>
      </c>
      <c r="G10" s="51">
        <f>F10*5%+F10</f>
        <v>0</v>
      </c>
    </row>
    <row r="11" spans="1:7" s="18" customFormat="1" hidden="1" x14ac:dyDescent="0.25">
      <c r="A11" s="48">
        <v>131</v>
      </c>
      <c r="B11" s="48">
        <v>31</v>
      </c>
      <c r="C11" s="95">
        <v>22</v>
      </c>
      <c r="D11" s="50" t="s">
        <v>7</v>
      </c>
      <c r="E11" s="51"/>
      <c r="F11" s="239">
        <f>E11*6.5%+E11</f>
        <v>0</v>
      </c>
      <c r="G11" s="51">
        <f>F11*5%+F11</f>
        <v>0</v>
      </c>
    </row>
    <row r="12" spans="1:7" s="18" customFormat="1" hidden="1" x14ac:dyDescent="0.25">
      <c r="A12" s="48">
        <v>131</v>
      </c>
      <c r="B12" s="48">
        <v>31</v>
      </c>
      <c r="C12" s="95">
        <v>25</v>
      </c>
      <c r="D12" s="50" t="s">
        <v>53</v>
      </c>
      <c r="E12" s="51"/>
      <c r="F12" s="239">
        <f>E12*6.5%+E12</f>
        <v>0</v>
      </c>
      <c r="G12" s="51">
        <f>F12*5%+F12</f>
        <v>0</v>
      </c>
    </row>
    <row r="13" spans="1:7" s="18" customFormat="1" hidden="1" x14ac:dyDescent="0.25">
      <c r="A13" s="48">
        <v>131</v>
      </c>
      <c r="B13" s="48">
        <v>31</v>
      </c>
      <c r="C13" s="95">
        <v>70</v>
      </c>
      <c r="D13" s="50" t="s">
        <v>9</v>
      </c>
      <c r="E13" s="51"/>
      <c r="F13" s="239">
        <f>E13*6.5%+E13</f>
        <v>0</v>
      </c>
      <c r="G13" s="51">
        <f>F13*5%+F13</f>
        <v>0</v>
      </c>
    </row>
    <row r="14" spans="1:7" s="18" customFormat="1" hidden="1" x14ac:dyDescent="0.25">
      <c r="A14" s="48"/>
      <c r="B14" s="48"/>
      <c r="C14" s="95"/>
      <c r="D14" s="50"/>
      <c r="E14" s="51"/>
      <c r="F14" s="177"/>
      <c r="G14" s="51"/>
    </row>
    <row r="15" spans="1:7" s="134" customFormat="1" hidden="1" x14ac:dyDescent="0.25">
      <c r="A15" s="60" t="s">
        <v>41</v>
      </c>
      <c r="B15" s="60"/>
      <c r="C15" s="139"/>
      <c r="D15" s="60"/>
      <c r="E15" s="44">
        <f>SUM(E10:E13)</f>
        <v>0</v>
      </c>
      <c r="F15" s="178">
        <f>SUM(F10:F13)</f>
        <v>0</v>
      </c>
      <c r="G15" s="44">
        <f>SUM(G10:G13)</f>
        <v>0</v>
      </c>
    </row>
    <row r="16" spans="1:7" hidden="1" x14ac:dyDescent="0.25">
      <c r="A16" s="60"/>
      <c r="B16" s="60"/>
      <c r="C16" s="139"/>
      <c r="D16" s="60"/>
      <c r="E16" s="44"/>
      <c r="F16" s="178"/>
      <c r="G16" s="44"/>
    </row>
    <row r="17" spans="1:7" s="18" customFormat="1" hidden="1" x14ac:dyDescent="0.25">
      <c r="A17" s="196"/>
      <c r="B17" s="48"/>
      <c r="C17" s="95"/>
      <c r="D17" s="50" t="s">
        <v>316</v>
      </c>
      <c r="E17" s="165">
        <v>0</v>
      </c>
      <c r="F17" s="214">
        <f>E17*6.2%+E17</f>
        <v>0</v>
      </c>
      <c r="G17" s="165">
        <f>F17*5.9%+F17</f>
        <v>0</v>
      </c>
    </row>
    <row r="18" spans="1:7" s="18" customFormat="1" hidden="1" x14ac:dyDescent="0.25">
      <c r="A18" s="48"/>
      <c r="B18" s="48"/>
      <c r="C18" s="95"/>
      <c r="D18" s="50"/>
      <c r="E18" s="51"/>
      <c r="F18" s="177"/>
      <c r="G18" s="51"/>
    </row>
    <row r="19" spans="1:7" s="134" customFormat="1" hidden="1" x14ac:dyDescent="0.25">
      <c r="A19" s="60" t="s">
        <v>43</v>
      </c>
      <c r="B19" s="60"/>
      <c r="C19" s="139"/>
      <c r="D19" s="60"/>
      <c r="E19" s="44">
        <f>SUM(E17)</f>
        <v>0</v>
      </c>
      <c r="F19" s="178">
        <f>SUM(F17)</f>
        <v>0</v>
      </c>
      <c r="G19" s="44">
        <f>SUM(G17)</f>
        <v>0</v>
      </c>
    </row>
    <row r="20" spans="1:7" s="18" customFormat="1" x14ac:dyDescent="0.25">
      <c r="A20" s="50"/>
      <c r="B20" s="50"/>
      <c r="C20" s="96"/>
      <c r="D20" s="50"/>
      <c r="E20" s="51"/>
      <c r="F20" s="177"/>
      <c r="G20" s="51"/>
    </row>
    <row r="21" spans="1:7" s="18" customFormat="1" x14ac:dyDescent="0.25">
      <c r="A21" s="196">
        <v>131</v>
      </c>
      <c r="B21" s="48">
        <v>44</v>
      </c>
      <c r="C21" s="95">
        <v>232</v>
      </c>
      <c r="D21" s="50" t="s">
        <v>312</v>
      </c>
      <c r="E21" s="165"/>
      <c r="F21" s="214">
        <f>E21*6.2%+E21</f>
        <v>0</v>
      </c>
      <c r="G21" s="165">
        <f>F21*5.9%+F21</f>
        <v>0</v>
      </c>
    </row>
    <row r="22" spans="1:7" s="18" customFormat="1" x14ac:dyDescent="0.25">
      <c r="A22" s="196">
        <v>131</v>
      </c>
      <c r="B22" s="48">
        <v>44</v>
      </c>
      <c r="C22" s="95">
        <v>360</v>
      </c>
      <c r="D22" s="50" t="s">
        <v>59</v>
      </c>
      <c r="E22" s="165"/>
      <c r="F22" s="214">
        <f>E22*6.2%+E22</f>
        <v>0</v>
      </c>
      <c r="G22" s="165">
        <f>F22*5.9%+F22</f>
        <v>0</v>
      </c>
    </row>
    <row r="23" spans="1:7" s="18" customFormat="1" x14ac:dyDescent="0.25">
      <c r="A23" s="94"/>
      <c r="B23" s="94"/>
      <c r="C23" s="88"/>
      <c r="D23" s="88"/>
      <c r="E23" s="91"/>
      <c r="F23" s="177"/>
      <c r="G23" s="51"/>
    </row>
    <row r="24" spans="1:7" s="134" customFormat="1" x14ac:dyDescent="0.25">
      <c r="A24" s="139" t="s">
        <v>42</v>
      </c>
      <c r="B24" s="139"/>
      <c r="C24" s="139"/>
      <c r="D24" s="139"/>
      <c r="E24" s="44">
        <f>SUM(E21:E23)</f>
        <v>0</v>
      </c>
      <c r="F24" s="178">
        <f>SUM(F21:F23)</f>
        <v>0</v>
      </c>
      <c r="G24" s="44">
        <f>SUM(G21:G23)</f>
        <v>0</v>
      </c>
    </row>
    <row r="25" spans="1:7" x14ac:dyDescent="0.25">
      <c r="A25" s="139" t="s">
        <v>48</v>
      </c>
      <c r="B25" s="96"/>
      <c r="C25" s="96"/>
      <c r="D25" s="96"/>
      <c r="E25" s="89">
        <f>E8+E15+E19+E24</f>
        <v>0</v>
      </c>
      <c r="F25" s="209">
        <f>F8+F15+F19+F24</f>
        <v>0</v>
      </c>
      <c r="G25" s="89">
        <f>G8+G15+G19+G24</f>
        <v>0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&amp;A&amp;RPage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/>
  <dimension ref="A1:I54"/>
  <sheetViews>
    <sheetView view="pageBreakPreview" topLeftCell="A9" zoomScaleNormal="90" zoomScaleSheetLayoutView="100" workbookViewId="0">
      <selection activeCell="C60" sqref="C60"/>
    </sheetView>
  </sheetViews>
  <sheetFormatPr defaultColWidth="9.140625" defaultRowHeight="12" x14ac:dyDescent="0.2"/>
  <cols>
    <col min="1" max="1" width="34.42578125" style="624" customWidth="1"/>
    <col min="2" max="2" width="18" style="625" hidden="1" customWidth="1"/>
    <col min="3" max="5" width="14.28515625" style="660" customWidth="1"/>
    <col min="6" max="6" width="10.42578125" style="625" customWidth="1"/>
    <col min="7" max="8" width="15.140625" style="625" customWidth="1"/>
    <col min="9" max="9" width="14" style="655" bestFit="1" customWidth="1"/>
    <col min="10" max="16384" width="9.140625" style="623"/>
  </cols>
  <sheetData>
    <row r="1" spans="1:9" x14ac:dyDescent="0.2">
      <c r="A1" s="621" t="s">
        <v>496</v>
      </c>
      <c r="B1" s="622"/>
      <c r="C1" s="659"/>
      <c r="D1" s="659"/>
      <c r="E1" s="659"/>
      <c r="F1" s="622"/>
      <c r="G1" s="622"/>
      <c r="H1" s="622"/>
    </row>
    <row r="2" spans="1:9" ht="12.75" thickBot="1" x14ac:dyDescent="0.25"/>
    <row r="3" spans="1:9" ht="39" thickBot="1" x14ac:dyDescent="0.25">
      <c r="A3" s="626" t="s">
        <v>39</v>
      </c>
      <c r="B3" s="627" t="s">
        <v>393</v>
      </c>
      <c r="C3" s="661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656" t="s">
        <v>556</v>
      </c>
      <c r="I3" s="657" t="s">
        <v>644</v>
      </c>
    </row>
    <row r="4" spans="1:9" x14ac:dyDescent="0.2">
      <c r="A4" s="628" t="s">
        <v>183</v>
      </c>
      <c r="B4" s="629">
        <v>-76874.264999999999</v>
      </c>
      <c r="C4" s="662">
        <f>B4+(B4*6.25%)</f>
        <v>-81678.906562499993</v>
      </c>
      <c r="D4" s="662"/>
      <c r="E4" s="662">
        <f>C4-D4</f>
        <v>-81678.906562499993</v>
      </c>
      <c r="F4" s="630">
        <v>0</v>
      </c>
      <c r="G4" s="630">
        <f>C4+F4</f>
        <v>-81678.906562499993</v>
      </c>
      <c r="H4" s="630">
        <f>C4+(C4*6.25%)</f>
        <v>-86783.838222656239</v>
      </c>
      <c r="I4" s="631">
        <f>H4+(H4*6.25%)</f>
        <v>-92207.828111572249</v>
      </c>
    </row>
    <row r="5" spans="1:9" x14ac:dyDescent="0.2">
      <c r="A5" s="628" t="s">
        <v>185</v>
      </c>
      <c r="B5" s="629">
        <v>-108693971</v>
      </c>
      <c r="C5" s="662">
        <f t="shared" ref="C5:I6" si="0">B5+(B5*6.25%)</f>
        <v>-115487344.1875</v>
      </c>
      <c r="D5" s="662"/>
      <c r="E5" s="662">
        <f t="shared" ref="E5:E6" si="1">C5-D5</f>
        <v>-115487344.1875</v>
      </c>
      <c r="F5" s="630">
        <v>0</v>
      </c>
      <c r="G5" s="630">
        <f t="shared" ref="G5:G6" si="2">C5+F5</f>
        <v>-115487344.1875</v>
      </c>
      <c r="H5" s="630">
        <f>C5+(C5*6.25%)</f>
        <v>-122705303.19921875</v>
      </c>
      <c r="I5" s="631">
        <f t="shared" si="0"/>
        <v>-130374384.64916992</v>
      </c>
    </row>
    <row r="6" spans="1:9" x14ac:dyDescent="0.2">
      <c r="A6" s="628" t="s">
        <v>186</v>
      </c>
      <c r="B6" s="629">
        <v>-19480041</v>
      </c>
      <c r="C6" s="662">
        <f t="shared" si="0"/>
        <v>-20697543.5625</v>
      </c>
      <c r="D6" s="662"/>
      <c r="E6" s="662">
        <f t="shared" si="1"/>
        <v>-20697543.5625</v>
      </c>
      <c r="F6" s="630">
        <v>0</v>
      </c>
      <c r="G6" s="630">
        <f t="shared" si="2"/>
        <v>-20697543.5625</v>
      </c>
      <c r="H6" s="630">
        <f>C6+(C6*6.25%)</f>
        <v>-21991140.03515625</v>
      </c>
      <c r="I6" s="631">
        <f t="shared" si="0"/>
        <v>-23365586.287353516</v>
      </c>
    </row>
    <row r="7" spans="1:9" x14ac:dyDescent="0.2">
      <c r="A7" s="632" t="s">
        <v>182</v>
      </c>
      <c r="B7" s="633">
        <f>SUM(B3:B6)</f>
        <v>-128250886.265</v>
      </c>
      <c r="C7" s="663">
        <f>SUM(C3:C6)</f>
        <v>-136266566.65656251</v>
      </c>
      <c r="D7" s="663">
        <f t="shared" ref="D7:E7" si="3">SUM(D3:D6)</f>
        <v>0</v>
      </c>
      <c r="E7" s="663">
        <f t="shared" si="3"/>
        <v>-136266566.65656251</v>
      </c>
      <c r="F7" s="634">
        <f t="shared" ref="F7:G7" si="4">SUM(F3:F6)</f>
        <v>0</v>
      </c>
      <c r="G7" s="634">
        <f t="shared" si="4"/>
        <v>-136266566.65656251</v>
      </c>
      <c r="H7" s="634">
        <f>SUM(H3:H6)</f>
        <v>-144783227.07259765</v>
      </c>
      <c r="I7" s="635">
        <f>SUM(I3:I6)</f>
        <v>-153832178.76463503</v>
      </c>
    </row>
    <row r="8" spans="1:9" x14ac:dyDescent="0.2">
      <c r="A8" s="636"/>
      <c r="B8" s="637"/>
      <c r="C8" s="664"/>
      <c r="D8" s="664"/>
      <c r="E8" s="664"/>
      <c r="F8" s="638"/>
      <c r="G8" s="638"/>
      <c r="H8" s="638"/>
      <c r="I8" s="631">
        <f>H8+(H8*5.4%)</f>
        <v>0</v>
      </c>
    </row>
    <row r="9" spans="1:9" s="641" customFormat="1" x14ac:dyDescent="0.2">
      <c r="A9" s="639" t="s">
        <v>2</v>
      </c>
      <c r="B9" s="640">
        <v>7892302.392</v>
      </c>
      <c r="C9" s="662">
        <f>B9+(B9*6.25%)</f>
        <v>8385571.2915000003</v>
      </c>
      <c r="D9" s="662"/>
      <c r="E9" s="662">
        <f t="shared" ref="E9:E18" si="5">C9-D9</f>
        <v>8385571.2915000003</v>
      </c>
      <c r="F9" s="630">
        <v>0</v>
      </c>
      <c r="G9" s="630">
        <f>C9+F9</f>
        <v>8385571.2915000003</v>
      </c>
      <c r="H9" s="630">
        <f t="shared" ref="H9:H18" si="6">C9+(C9*6.25%)</f>
        <v>8909669.4972187504</v>
      </c>
      <c r="I9" s="631">
        <f>H9+(H9*6.25%)</f>
        <v>9466523.8407949228</v>
      </c>
    </row>
    <row r="10" spans="1:9" s="641" customFormat="1" x14ac:dyDescent="0.2">
      <c r="A10" s="639" t="s">
        <v>3</v>
      </c>
      <c r="B10" s="640">
        <v>589869.54</v>
      </c>
      <c r="C10" s="662">
        <f t="shared" ref="C10:I18" si="7">B10+(B10*6.25%)</f>
        <v>626736.38624999998</v>
      </c>
      <c r="D10" s="662"/>
      <c r="E10" s="662">
        <f t="shared" si="5"/>
        <v>626736.38624999998</v>
      </c>
      <c r="F10" s="630">
        <v>0</v>
      </c>
      <c r="G10" s="630">
        <f t="shared" ref="G10:G18" si="8">C10+F10</f>
        <v>626736.38624999998</v>
      </c>
      <c r="H10" s="630">
        <f t="shared" si="6"/>
        <v>665907.41039062501</v>
      </c>
      <c r="I10" s="631">
        <f t="shared" si="7"/>
        <v>707526.62354003906</v>
      </c>
    </row>
    <row r="11" spans="1:9" s="641" customFormat="1" x14ac:dyDescent="0.2">
      <c r="A11" s="639" t="s">
        <v>17</v>
      </c>
      <c r="B11" s="640">
        <v>1803821</v>
      </c>
      <c r="C11" s="662">
        <f t="shared" si="7"/>
        <v>1916559.8125</v>
      </c>
      <c r="D11" s="662"/>
      <c r="E11" s="662">
        <f t="shared" si="5"/>
        <v>1916559.8125</v>
      </c>
      <c r="F11" s="630">
        <v>0</v>
      </c>
      <c r="G11" s="630">
        <f t="shared" si="8"/>
        <v>1916559.8125</v>
      </c>
      <c r="H11" s="630">
        <f t="shared" si="6"/>
        <v>2036344.80078125</v>
      </c>
      <c r="I11" s="631">
        <f t="shared" si="7"/>
        <v>2163616.3508300781</v>
      </c>
    </row>
    <row r="12" spans="1:9" s="641" customFormat="1" x14ac:dyDescent="0.2">
      <c r="A12" s="639" t="s">
        <v>172</v>
      </c>
      <c r="B12" s="640">
        <v>290505</v>
      </c>
      <c r="C12" s="662">
        <f t="shared" si="7"/>
        <v>308661.5625</v>
      </c>
      <c r="D12" s="662"/>
      <c r="E12" s="662">
        <f t="shared" si="5"/>
        <v>308661.5625</v>
      </c>
      <c r="F12" s="630">
        <v>0</v>
      </c>
      <c r="G12" s="630">
        <f t="shared" si="8"/>
        <v>308661.5625</v>
      </c>
      <c r="H12" s="630">
        <f t="shared" si="6"/>
        <v>327952.91015625</v>
      </c>
      <c r="I12" s="631">
        <f t="shared" si="7"/>
        <v>348449.96704101563</v>
      </c>
    </row>
    <row r="13" spans="1:9" s="641" customFormat="1" x14ac:dyDescent="0.2">
      <c r="A13" s="639" t="s">
        <v>357</v>
      </c>
      <c r="B13" s="640">
        <v>92939</v>
      </c>
      <c r="C13" s="662">
        <f t="shared" si="7"/>
        <v>98747.6875</v>
      </c>
      <c r="D13" s="662"/>
      <c r="E13" s="662">
        <f t="shared" si="5"/>
        <v>98747.6875</v>
      </c>
      <c r="F13" s="630">
        <v>0</v>
      </c>
      <c r="G13" s="630">
        <f t="shared" si="8"/>
        <v>98747.6875</v>
      </c>
      <c r="H13" s="630">
        <f t="shared" si="6"/>
        <v>104919.41796875</v>
      </c>
      <c r="I13" s="631">
        <f t="shared" si="7"/>
        <v>111476.88159179688</v>
      </c>
    </row>
    <row r="14" spans="1:9" s="641" customFormat="1" x14ac:dyDescent="0.2">
      <c r="A14" s="639" t="s">
        <v>4</v>
      </c>
      <c r="B14" s="640">
        <v>53592</v>
      </c>
      <c r="C14" s="662">
        <f t="shared" si="7"/>
        <v>56941.5</v>
      </c>
      <c r="D14" s="662"/>
      <c r="E14" s="662">
        <f t="shared" si="5"/>
        <v>56941.5</v>
      </c>
      <c r="F14" s="630">
        <v>0</v>
      </c>
      <c r="G14" s="630">
        <f t="shared" si="8"/>
        <v>56941.5</v>
      </c>
      <c r="H14" s="630">
        <f t="shared" si="6"/>
        <v>60500.34375</v>
      </c>
      <c r="I14" s="631">
        <f t="shared" si="7"/>
        <v>64281.615234375</v>
      </c>
    </row>
    <row r="15" spans="1:9" s="641" customFormat="1" x14ac:dyDescent="0.2">
      <c r="A15" s="639" t="s">
        <v>5</v>
      </c>
      <c r="B15" s="640">
        <v>489283.01899999997</v>
      </c>
      <c r="C15" s="662">
        <f t="shared" si="7"/>
        <v>519863.20768749999</v>
      </c>
      <c r="D15" s="662"/>
      <c r="E15" s="662">
        <f t="shared" si="5"/>
        <v>519863.20768749999</v>
      </c>
      <c r="F15" s="630">
        <v>0</v>
      </c>
      <c r="G15" s="630">
        <f t="shared" si="8"/>
        <v>519863.20768749999</v>
      </c>
      <c r="H15" s="630">
        <f t="shared" si="6"/>
        <v>552354.65816796874</v>
      </c>
      <c r="I15" s="631">
        <f t="shared" si="7"/>
        <v>586876.82430346683</v>
      </c>
    </row>
    <row r="16" spans="1:9" s="641" customFormat="1" x14ac:dyDescent="0.2">
      <c r="A16" s="639" t="s">
        <v>258</v>
      </c>
      <c r="B16" s="640">
        <v>8000</v>
      </c>
      <c r="C16" s="662">
        <f t="shared" si="7"/>
        <v>8500</v>
      </c>
      <c r="D16" s="662"/>
      <c r="E16" s="662">
        <f t="shared" si="5"/>
        <v>8500</v>
      </c>
      <c r="F16" s="630">
        <v>0</v>
      </c>
      <c r="G16" s="630">
        <f t="shared" si="8"/>
        <v>8500</v>
      </c>
      <c r="H16" s="630">
        <f t="shared" si="6"/>
        <v>9031.25</v>
      </c>
      <c r="I16" s="631">
        <f t="shared" si="7"/>
        <v>9595.703125</v>
      </c>
    </row>
    <row r="17" spans="1:9" s="641" customFormat="1" x14ac:dyDescent="0.2">
      <c r="A17" s="639" t="s">
        <v>259</v>
      </c>
      <c r="B17" s="640">
        <v>552137</v>
      </c>
      <c r="C17" s="662">
        <f t="shared" si="7"/>
        <v>586645.5625</v>
      </c>
      <c r="D17" s="662"/>
      <c r="E17" s="662">
        <f t="shared" si="5"/>
        <v>586645.5625</v>
      </c>
      <c r="F17" s="630">
        <v>0</v>
      </c>
      <c r="G17" s="630">
        <f t="shared" si="8"/>
        <v>586645.5625</v>
      </c>
      <c r="H17" s="630">
        <f t="shared" si="6"/>
        <v>623310.91015625</v>
      </c>
      <c r="I17" s="631">
        <f t="shared" si="7"/>
        <v>662267.84204101563</v>
      </c>
    </row>
    <row r="18" spans="1:9" s="641" customFormat="1" x14ac:dyDescent="0.2">
      <c r="A18" s="639" t="s">
        <v>260</v>
      </c>
      <c r="B18" s="640">
        <v>51784.434000000001</v>
      </c>
      <c r="C18" s="662">
        <f t="shared" si="7"/>
        <v>55020.961125000002</v>
      </c>
      <c r="D18" s="662"/>
      <c r="E18" s="662">
        <f t="shared" si="5"/>
        <v>55020.961125000002</v>
      </c>
      <c r="F18" s="630">
        <v>0</v>
      </c>
      <c r="G18" s="630">
        <f t="shared" si="8"/>
        <v>55020.961125000002</v>
      </c>
      <c r="H18" s="630">
        <f t="shared" si="6"/>
        <v>58459.771195312504</v>
      </c>
      <c r="I18" s="631">
        <f t="shared" si="7"/>
        <v>62113.506895019535</v>
      </c>
    </row>
    <row r="19" spans="1:9" s="641" customFormat="1" x14ac:dyDescent="0.2">
      <c r="A19" s="632" t="s">
        <v>40</v>
      </c>
      <c r="B19" s="633">
        <f>SUM(B9:B18)</f>
        <v>11824233.385</v>
      </c>
      <c r="C19" s="663">
        <f>SUM(C9:C18)</f>
        <v>12563247.971562501</v>
      </c>
      <c r="D19" s="663">
        <f t="shared" ref="D19:E19" si="9">SUM(D9:D18)</f>
        <v>0</v>
      </c>
      <c r="E19" s="663">
        <f t="shared" si="9"/>
        <v>12563247.971562501</v>
      </c>
      <c r="F19" s="634">
        <f>SUM(F9:F18)</f>
        <v>0</v>
      </c>
      <c r="G19" s="634">
        <f>SUM(G9:G18)</f>
        <v>12563247.971562501</v>
      </c>
      <c r="H19" s="634">
        <f>SUM(H9:H18)</f>
        <v>13348450.969785158</v>
      </c>
      <c r="I19" s="635">
        <f>SUM(I9:I18)</f>
        <v>14182729.155396728</v>
      </c>
    </row>
    <row r="20" spans="1:9" x14ac:dyDescent="0.2">
      <c r="A20" s="639"/>
      <c r="B20" s="640"/>
      <c r="C20" s="662"/>
      <c r="D20" s="662"/>
      <c r="E20" s="662"/>
      <c r="F20" s="630"/>
      <c r="G20" s="630"/>
      <c r="H20" s="630"/>
      <c r="I20" s="631">
        <f>H20+(H20*5.4%)</f>
        <v>0</v>
      </c>
    </row>
    <row r="21" spans="1:9" s="641" customFormat="1" x14ac:dyDescent="0.2">
      <c r="A21" s="639" t="s">
        <v>6</v>
      </c>
      <c r="B21" s="640">
        <v>1542193.912</v>
      </c>
      <c r="C21" s="662">
        <f>B21+(B21*6.25%)</f>
        <v>1638581.0315</v>
      </c>
      <c r="D21" s="662"/>
      <c r="E21" s="662">
        <f t="shared" ref="E21:E25" si="10">C21-D21</f>
        <v>1638581.0315</v>
      </c>
      <c r="F21" s="630">
        <v>0</v>
      </c>
      <c r="G21" s="630">
        <f t="shared" ref="G21:G25" si="11">C21+F21</f>
        <v>1638581.0315</v>
      </c>
      <c r="H21" s="630">
        <f>C21+(C21*6.25%)</f>
        <v>1740992.3459687501</v>
      </c>
      <c r="I21" s="631">
        <f>H21+(H21*6.25%)</f>
        <v>1849804.3675917969</v>
      </c>
    </row>
    <row r="22" spans="1:9" s="641" customFormat="1" x14ac:dyDescent="0.2">
      <c r="A22" s="639" t="s">
        <v>7</v>
      </c>
      <c r="B22" s="640">
        <v>86162.778000000006</v>
      </c>
      <c r="C22" s="662">
        <f t="shared" ref="C22:I25" si="12">B22+(B22*6.25%)</f>
        <v>91547.951625000002</v>
      </c>
      <c r="D22" s="662"/>
      <c r="E22" s="662">
        <f t="shared" si="10"/>
        <v>91547.951625000002</v>
      </c>
      <c r="F22" s="630">
        <v>0</v>
      </c>
      <c r="G22" s="630">
        <f t="shared" si="11"/>
        <v>91547.951625000002</v>
      </c>
      <c r="H22" s="630">
        <f>C22+(C22*6.25%)</f>
        <v>97269.698601562501</v>
      </c>
      <c r="I22" s="631">
        <f t="shared" si="12"/>
        <v>103349.05476416016</v>
      </c>
    </row>
    <row r="23" spans="1:9" s="641" customFormat="1" x14ac:dyDescent="0.2">
      <c r="A23" s="639" t="s">
        <v>53</v>
      </c>
      <c r="B23" s="640">
        <v>1391904.8910000001</v>
      </c>
      <c r="C23" s="662">
        <f t="shared" si="12"/>
        <v>1478898.9466875</v>
      </c>
      <c r="D23" s="662"/>
      <c r="E23" s="662">
        <f t="shared" si="10"/>
        <v>1478898.9466875</v>
      </c>
      <c r="F23" s="630">
        <v>0</v>
      </c>
      <c r="G23" s="630">
        <f t="shared" si="11"/>
        <v>1478898.9466875</v>
      </c>
      <c r="H23" s="630">
        <f>C23+(C23*6.25%)</f>
        <v>1571330.1308554688</v>
      </c>
      <c r="I23" s="631">
        <f t="shared" si="12"/>
        <v>1669538.2640339355</v>
      </c>
    </row>
    <row r="24" spans="1:9" s="641" customFormat="1" x14ac:dyDescent="0.2">
      <c r="A24" s="639" t="s">
        <v>174</v>
      </c>
      <c r="B24" s="640">
        <v>4602.6629999999996</v>
      </c>
      <c r="C24" s="662">
        <f t="shared" si="12"/>
        <v>4890.3294374999996</v>
      </c>
      <c r="D24" s="662"/>
      <c r="E24" s="662">
        <f t="shared" si="10"/>
        <v>4890.3294374999996</v>
      </c>
      <c r="F24" s="630">
        <v>0</v>
      </c>
      <c r="G24" s="630">
        <f t="shared" si="11"/>
        <v>4890.3294374999996</v>
      </c>
      <c r="H24" s="630">
        <f>C24+(C24*6.25%)</f>
        <v>5195.9750273437494</v>
      </c>
      <c r="I24" s="631">
        <f t="shared" si="12"/>
        <v>5520.723466552734</v>
      </c>
    </row>
    <row r="25" spans="1:9" s="641" customFormat="1" x14ac:dyDescent="0.2">
      <c r="A25" s="639" t="s">
        <v>175</v>
      </c>
      <c r="B25" s="640">
        <v>21756.032999999999</v>
      </c>
      <c r="C25" s="662">
        <f t="shared" si="12"/>
        <v>23115.785062499999</v>
      </c>
      <c r="D25" s="662"/>
      <c r="E25" s="662">
        <f t="shared" si="10"/>
        <v>23115.785062499999</v>
      </c>
      <c r="F25" s="630">
        <v>0</v>
      </c>
      <c r="G25" s="630">
        <f t="shared" si="11"/>
        <v>23115.785062499999</v>
      </c>
      <c r="H25" s="630">
        <f>C25+(C25*6.25%)</f>
        <v>24560.521628906248</v>
      </c>
      <c r="I25" s="631">
        <f t="shared" si="12"/>
        <v>26095.554230712889</v>
      </c>
    </row>
    <row r="26" spans="1:9" s="641" customFormat="1" x14ac:dyDescent="0.2">
      <c r="C26" s="665"/>
      <c r="D26" s="665"/>
      <c r="E26" s="665"/>
      <c r="G26" s="658"/>
      <c r="H26" s="658"/>
      <c r="I26" s="658"/>
    </row>
    <row r="27" spans="1:9" s="641" customFormat="1" x14ac:dyDescent="0.2">
      <c r="A27" s="632" t="s">
        <v>41</v>
      </c>
      <c r="B27" s="633">
        <f ca="1">SUM(B21:B41)</f>
        <v>102866234.20199999</v>
      </c>
      <c r="C27" s="663">
        <f>SUM(C21:C25)</f>
        <v>3237034.0443124999</v>
      </c>
      <c r="D27" s="663">
        <f t="shared" ref="D27:E27" si="13">SUM(D21:D25)</f>
        <v>0</v>
      </c>
      <c r="E27" s="663">
        <f t="shared" si="13"/>
        <v>3237034.0443124999</v>
      </c>
      <c r="F27" s="634">
        <f t="shared" ref="F27:G27" si="14">SUM(F21:F25)</f>
        <v>0</v>
      </c>
      <c r="G27" s="634">
        <f t="shared" si="14"/>
        <v>3237034.0443124999</v>
      </c>
      <c r="H27" s="634">
        <f>SUM(H21:H25)</f>
        <v>3439348.6720820311</v>
      </c>
      <c r="I27" s="634">
        <f>SUM(I21:I25)</f>
        <v>3654307.964087158</v>
      </c>
    </row>
    <row r="28" spans="1:9" s="641" customFormat="1" x14ac:dyDescent="0.2">
      <c r="A28" s="642"/>
      <c r="B28" s="633"/>
      <c r="C28" s="663"/>
      <c r="D28" s="663"/>
      <c r="E28" s="663"/>
      <c r="F28" s="634"/>
      <c r="G28" s="634"/>
      <c r="H28" s="634"/>
      <c r="I28" s="634"/>
    </row>
    <row r="29" spans="1:9" x14ac:dyDescent="0.2">
      <c r="A29" s="642"/>
      <c r="B29" s="633"/>
      <c r="C29" s="663"/>
      <c r="D29" s="663"/>
      <c r="E29" s="663"/>
      <c r="F29" s="634"/>
      <c r="G29" s="634"/>
      <c r="H29" s="634"/>
      <c r="I29" s="631"/>
    </row>
    <row r="30" spans="1:9" s="641" customFormat="1" x14ac:dyDescent="0.2">
      <c r="A30" s="639" t="s">
        <v>244</v>
      </c>
      <c r="B30" s="643">
        <v>43495892</v>
      </c>
      <c r="C30" s="662">
        <f>B30+(B30*6.25%)</f>
        <v>46214385.25</v>
      </c>
      <c r="D30" s="662"/>
      <c r="E30" s="662">
        <f t="shared" ref="E30" si="15">C30-D30</f>
        <v>46214385.25</v>
      </c>
      <c r="F30" s="630">
        <v>0</v>
      </c>
      <c r="G30" s="630">
        <f t="shared" ref="G30" si="16">C30+F30</f>
        <v>46214385.25</v>
      </c>
      <c r="H30" s="630">
        <f>C30+(C30*6.25%)</f>
        <v>49102784.328125</v>
      </c>
      <c r="I30" s="631">
        <f>H30+(H30*6.25%)</f>
        <v>52171708.348632813</v>
      </c>
    </row>
    <row r="31" spans="1:9" s="641" customFormat="1" x14ac:dyDescent="0.2">
      <c r="A31" s="632" t="s">
        <v>244</v>
      </c>
      <c r="B31" s="633">
        <f>SUM(B30)</f>
        <v>43495892</v>
      </c>
      <c r="C31" s="663">
        <f>SUM(C30)</f>
        <v>46214385.25</v>
      </c>
      <c r="D31" s="663">
        <f t="shared" ref="D31:E31" si="17">SUM(D30)</f>
        <v>0</v>
      </c>
      <c r="E31" s="663">
        <f t="shared" si="17"/>
        <v>46214385.25</v>
      </c>
      <c r="F31" s="634">
        <f t="shared" ref="F31:G31" si="18">SUM(F30)</f>
        <v>0</v>
      </c>
      <c r="G31" s="634">
        <f t="shared" si="18"/>
        <v>46214385.25</v>
      </c>
      <c r="H31" s="634">
        <f>SUM(H30)</f>
        <v>49102784.328125</v>
      </c>
      <c r="I31" s="635">
        <f>SUM(I30)</f>
        <v>52171708.348632813</v>
      </c>
    </row>
    <row r="32" spans="1:9" s="624" customFormat="1" ht="17.25" customHeight="1" x14ac:dyDescent="0.2">
      <c r="A32" s="642"/>
      <c r="B32" s="633"/>
      <c r="C32" s="663"/>
      <c r="D32" s="663"/>
      <c r="E32" s="663"/>
      <c r="F32" s="634"/>
      <c r="G32" s="634"/>
      <c r="H32" s="634"/>
      <c r="I32" s="631"/>
    </row>
    <row r="33" spans="1:9" s="644" customFormat="1" x14ac:dyDescent="0.2">
      <c r="A33" s="639" t="s">
        <v>177</v>
      </c>
      <c r="B33" s="640"/>
      <c r="C33" s="662">
        <v>15134000</v>
      </c>
      <c r="D33" s="662"/>
      <c r="E33" s="662">
        <f t="shared" ref="E33:E34" si="19">C33-D33</f>
        <v>15134000</v>
      </c>
      <c r="F33" s="630">
        <v>0</v>
      </c>
      <c r="G33" s="630">
        <f t="shared" ref="G33:G34" si="20">C33+F33</f>
        <v>15134000</v>
      </c>
      <c r="H33" s="630">
        <f>C33+(C33*5.4%)</f>
        <v>15951236</v>
      </c>
      <c r="I33" s="631">
        <f>H33+(H33*5.4%)</f>
        <v>16812602.743999999</v>
      </c>
    </row>
    <row r="34" spans="1:9" s="641" customFormat="1" x14ac:dyDescent="0.2">
      <c r="A34" s="639" t="s">
        <v>20</v>
      </c>
      <c r="B34" s="640">
        <v>392790</v>
      </c>
      <c r="C34" s="662">
        <f>B34+(B34*6.25%)</f>
        <v>417339.375</v>
      </c>
      <c r="D34" s="662"/>
      <c r="E34" s="662">
        <f t="shared" si="19"/>
        <v>417339.375</v>
      </c>
      <c r="F34" s="630">
        <v>0</v>
      </c>
      <c r="G34" s="630">
        <f t="shared" si="20"/>
        <v>417339.375</v>
      </c>
      <c r="H34" s="630">
        <f>C34+(C34*6.25%)</f>
        <v>443423.0859375</v>
      </c>
      <c r="I34" s="631">
        <f>H34+(H34*6.25%)</f>
        <v>471137.02880859375</v>
      </c>
    </row>
    <row r="35" spans="1:9" s="641" customFormat="1" x14ac:dyDescent="0.2">
      <c r="A35" s="632" t="s">
        <v>43</v>
      </c>
      <c r="B35" s="633">
        <f>SUM(B32:B34)</f>
        <v>392790</v>
      </c>
      <c r="C35" s="663">
        <f>SUM(C32:C34)</f>
        <v>15551339.375</v>
      </c>
      <c r="D35" s="663">
        <f t="shared" ref="D35:E35" si="21">SUM(D32:D34)</f>
        <v>0</v>
      </c>
      <c r="E35" s="663">
        <f t="shared" si="21"/>
        <v>15551339.375</v>
      </c>
      <c r="F35" s="634">
        <f t="shared" ref="F35:G35" si="22">SUM(F32:F34)</f>
        <v>0</v>
      </c>
      <c r="G35" s="634">
        <f t="shared" si="22"/>
        <v>15551339.375</v>
      </c>
      <c r="H35" s="634">
        <f>SUM(H32:H34)</f>
        <v>16394659.0859375</v>
      </c>
      <c r="I35" s="635">
        <f>SUM(I32:I34)</f>
        <v>17283739.772808593</v>
      </c>
    </row>
    <row r="36" spans="1:9" s="641" customFormat="1" x14ac:dyDescent="0.2">
      <c r="A36" s="642"/>
      <c r="B36" s="633"/>
      <c r="C36" s="663"/>
      <c r="D36" s="663"/>
      <c r="E36" s="663"/>
      <c r="F36" s="634"/>
      <c r="G36" s="634"/>
      <c r="H36" s="634"/>
      <c r="I36" s="631"/>
    </row>
    <row r="37" spans="1:9" s="641" customFormat="1" x14ac:dyDescent="0.2">
      <c r="A37" s="645" t="s">
        <v>593</v>
      </c>
      <c r="B37" s="646">
        <v>2697125</v>
      </c>
      <c r="C37" s="662">
        <f t="shared" ref="C37:I38" si="23">B37+(B37*6.25%)</f>
        <v>2865695.3125</v>
      </c>
      <c r="D37" s="662"/>
      <c r="E37" s="662">
        <f t="shared" ref="E37:E38" si="24">C37-D37</f>
        <v>2865695.3125</v>
      </c>
      <c r="F37" s="630">
        <v>0</v>
      </c>
      <c r="G37" s="630">
        <f t="shared" ref="G37:G38" si="25">C37+F37</f>
        <v>2865695.3125</v>
      </c>
      <c r="H37" s="630">
        <f>C37+(C37*6.25%)</f>
        <v>3044801.26953125</v>
      </c>
      <c r="I37" s="631">
        <f t="shared" si="23"/>
        <v>3235101.3488769531</v>
      </c>
    </row>
    <row r="38" spans="1:9" s="641" customFormat="1" x14ac:dyDescent="0.2">
      <c r="A38" s="647" t="s">
        <v>623</v>
      </c>
      <c r="B38" s="646">
        <v>1677691</v>
      </c>
      <c r="C38" s="662">
        <f t="shared" si="23"/>
        <v>1782546.6875</v>
      </c>
      <c r="D38" s="662"/>
      <c r="E38" s="662">
        <f t="shared" si="24"/>
        <v>1782546.6875</v>
      </c>
      <c r="F38" s="630">
        <v>0</v>
      </c>
      <c r="G38" s="630">
        <f t="shared" si="25"/>
        <v>1782546.6875</v>
      </c>
      <c r="H38" s="630">
        <f>C38+(C38*6.25%)</f>
        <v>1893955.85546875</v>
      </c>
      <c r="I38" s="631">
        <f t="shared" si="23"/>
        <v>2012328.0964355469</v>
      </c>
    </row>
    <row r="39" spans="1:9" s="641" customFormat="1" x14ac:dyDescent="0.2">
      <c r="A39" s="648" t="s">
        <v>793</v>
      </c>
      <c r="B39" s="633">
        <f>SUM(B37:B38)</f>
        <v>4374816</v>
      </c>
      <c r="C39" s="663">
        <f>SUM(C37:C38)</f>
        <v>4648242</v>
      </c>
      <c r="D39" s="663">
        <f t="shared" ref="D39:E39" si="26">SUM(D37:D38)</f>
        <v>0</v>
      </c>
      <c r="E39" s="663">
        <f t="shared" si="26"/>
        <v>4648242</v>
      </c>
      <c r="F39" s="634">
        <f t="shared" ref="F39:G39" si="27">SUM(F37:F38)</f>
        <v>0</v>
      </c>
      <c r="G39" s="634">
        <f t="shared" si="27"/>
        <v>4648242</v>
      </c>
      <c r="H39" s="634">
        <f>SUM(H37:H38)</f>
        <v>4938757.125</v>
      </c>
      <c r="I39" s="635">
        <f>SUM(I37:I38)</f>
        <v>5247429.4453125</v>
      </c>
    </row>
    <row r="40" spans="1:9" s="641" customFormat="1" x14ac:dyDescent="0.2">
      <c r="A40" s="648"/>
      <c r="B40" s="633"/>
      <c r="C40" s="663"/>
      <c r="D40" s="663"/>
      <c r="E40" s="663"/>
      <c r="F40" s="634"/>
      <c r="G40" s="634"/>
      <c r="H40" s="634"/>
      <c r="I40" s="635"/>
    </row>
    <row r="41" spans="1:9" s="641" customFormat="1" x14ac:dyDescent="0.2">
      <c r="A41" s="639" t="s">
        <v>248</v>
      </c>
      <c r="B41" s="640">
        <v>122998.82399999999</v>
      </c>
      <c r="C41" s="662">
        <f t="shared" ref="C41:I42" si="28">B41+(B41*6.25%)</f>
        <v>130686.25049999999</v>
      </c>
      <c r="D41" s="662"/>
      <c r="E41" s="662">
        <f t="shared" ref="E41:E49" si="29">C41-D41</f>
        <v>130686.25049999999</v>
      </c>
      <c r="F41" s="630">
        <v>0</v>
      </c>
      <c r="G41" s="630">
        <f t="shared" ref="G41:G49" si="30">C41+F41</f>
        <v>130686.25049999999</v>
      </c>
      <c r="H41" s="630">
        <f t="shared" ref="H41:H49" si="31">C41+(C41*6.25%)</f>
        <v>138854.14115625</v>
      </c>
      <c r="I41" s="631">
        <f t="shared" si="28"/>
        <v>147532.52497851563</v>
      </c>
    </row>
    <row r="42" spans="1:9" s="641" customFormat="1" x14ac:dyDescent="0.2">
      <c r="A42" s="639" t="s">
        <v>80</v>
      </c>
      <c r="B42" s="640">
        <v>38509.262999999999</v>
      </c>
      <c r="C42" s="662">
        <f t="shared" si="28"/>
        <v>40916.091937500001</v>
      </c>
      <c r="D42" s="662"/>
      <c r="E42" s="662">
        <f t="shared" si="29"/>
        <v>40916.091937500001</v>
      </c>
      <c r="F42" s="630">
        <v>0</v>
      </c>
      <c r="G42" s="630">
        <f t="shared" si="30"/>
        <v>40916.091937500001</v>
      </c>
      <c r="H42" s="630">
        <f t="shared" si="31"/>
        <v>43473.347683593754</v>
      </c>
      <c r="I42" s="631">
        <f t="shared" si="28"/>
        <v>46190.431913818364</v>
      </c>
    </row>
    <row r="43" spans="1:9" s="641" customFormat="1" x14ac:dyDescent="0.2">
      <c r="A43" s="639" t="s">
        <v>24</v>
      </c>
      <c r="B43" s="640">
        <v>294172.39799999999</v>
      </c>
      <c r="C43" s="662">
        <f t="shared" ref="C43:I49" si="32">B43+(B43*6.25%)</f>
        <v>312558.17287499999</v>
      </c>
      <c r="D43" s="662"/>
      <c r="E43" s="662">
        <f t="shared" si="29"/>
        <v>312558.17287499999</v>
      </c>
      <c r="F43" s="630">
        <v>0</v>
      </c>
      <c r="G43" s="630">
        <f t="shared" si="30"/>
        <v>312558.17287499999</v>
      </c>
      <c r="H43" s="630">
        <f t="shared" si="31"/>
        <v>332093.0586796875</v>
      </c>
      <c r="I43" s="631">
        <f t="shared" si="32"/>
        <v>352848.87484716799</v>
      </c>
    </row>
    <row r="44" spans="1:9" s="641" customFormat="1" x14ac:dyDescent="0.2">
      <c r="A44" s="645" t="s">
        <v>57</v>
      </c>
      <c r="B44" s="640">
        <v>100000</v>
      </c>
      <c r="C44" s="662">
        <f t="shared" si="32"/>
        <v>106250</v>
      </c>
      <c r="D44" s="662"/>
      <c r="E44" s="662">
        <f t="shared" si="29"/>
        <v>106250</v>
      </c>
      <c r="F44" s="630">
        <v>0</v>
      </c>
      <c r="G44" s="630">
        <f t="shared" si="30"/>
        <v>106250</v>
      </c>
      <c r="H44" s="630">
        <f t="shared" si="31"/>
        <v>112890.625</v>
      </c>
      <c r="I44" s="631">
        <f t="shared" si="32"/>
        <v>119946.2890625</v>
      </c>
    </row>
    <row r="45" spans="1:9" s="641" customFormat="1" x14ac:dyDescent="0.2">
      <c r="A45" s="645" t="s">
        <v>358</v>
      </c>
      <c r="B45" s="640">
        <v>33674.94</v>
      </c>
      <c r="C45" s="662">
        <f t="shared" si="32"/>
        <v>35779.623749999999</v>
      </c>
      <c r="D45" s="662"/>
      <c r="E45" s="662">
        <f t="shared" si="29"/>
        <v>35779.623749999999</v>
      </c>
      <c r="F45" s="630">
        <v>0</v>
      </c>
      <c r="G45" s="630">
        <f t="shared" si="30"/>
        <v>35779.623749999999</v>
      </c>
      <c r="H45" s="630">
        <f t="shared" si="31"/>
        <v>38015.850234375001</v>
      </c>
      <c r="I45" s="631">
        <f t="shared" si="32"/>
        <v>40391.840874023437</v>
      </c>
    </row>
    <row r="46" spans="1:9" s="641" customFormat="1" x14ac:dyDescent="0.2">
      <c r="A46" s="645" t="s">
        <v>272</v>
      </c>
      <c r="B46" s="640">
        <v>17646.173999999999</v>
      </c>
      <c r="C46" s="662">
        <f t="shared" si="32"/>
        <v>18749.059874999999</v>
      </c>
      <c r="D46" s="662"/>
      <c r="E46" s="662">
        <f t="shared" si="29"/>
        <v>18749.059874999999</v>
      </c>
      <c r="F46" s="630">
        <v>0</v>
      </c>
      <c r="G46" s="630">
        <f t="shared" si="30"/>
        <v>18749.059874999999</v>
      </c>
      <c r="H46" s="630">
        <f t="shared" si="31"/>
        <v>19920.876117187498</v>
      </c>
      <c r="I46" s="631">
        <f t="shared" si="32"/>
        <v>21165.930874511716</v>
      </c>
    </row>
    <row r="47" spans="1:9" s="641" customFormat="1" x14ac:dyDescent="0.2">
      <c r="A47" s="645" t="s">
        <v>288</v>
      </c>
      <c r="B47" s="640">
        <v>5000000</v>
      </c>
      <c r="C47" s="662">
        <f t="shared" si="32"/>
        <v>5312500</v>
      </c>
      <c r="D47" s="662"/>
      <c r="E47" s="662">
        <f t="shared" si="29"/>
        <v>5312500</v>
      </c>
      <c r="F47" s="630">
        <v>0</v>
      </c>
      <c r="G47" s="630">
        <f t="shared" si="30"/>
        <v>5312500</v>
      </c>
      <c r="H47" s="630">
        <f t="shared" si="31"/>
        <v>5644531.25</v>
      </c>
      <c r="I47" s="631">
        <f t="shared" si="32"/>
        <v>5997314.453125</v>
      </c>
    </row>
    <row r="48" spans="1:9" s="641" customFormat="1" x14ac:dyDescent="0.2">
      <c r="A48" s="645" t="s">
        <v>180</v>
      </c>
      <c r="B48" s="640">
        <v>20475.584999999999</v>
      </c>
      <c r="C48" s="662">
        <f t="shared" si="32"/>
        <v>21755.3090625</v>
      </c>
      <c r="D48" s="662"/>
      <c r="E48" s="662">
        <f t="shared" si="29"/>
        <v>21755.3090625</v>
      </c>
      <c r="F48" s="630">
        <v>0</v>
      </c>
      <c r="G48" s="630">
        <f t="shared" si="30"/>
        <v>21755.3090625</v>
      </c>
      <c r="H48" s="630">
        <f t="shared" si="31"/>
        <v>23115.015878906252</v>
      </c>
      <c r="I48" s="631">
        <f t="shared" si="32"/>
        <v>24559.704371337892</v>
      </c>
    </row>
    <row r="49" spans="1:9" s="641" customFormat="1" x14ac:dyDescent="0.2">
      <c r="A49" s="645" t="s">
        <v>181</v>
      </c>
      <c r="B49" s="640">
        <v>80000</v>
      </c>
      <c r="C49" s="662">
        <f t="shared" si="32"/>
        <v>85000</v>
      </c>
      <c r="D49" s="662"/>
      <c r="E49" s="662">
        <f t="shared" si="29"/>
        <v>85000</v>
      </c>
      <c r="F49" s="630">
        <v>0</v>
      </c>
      <c r="G49" s="630">
        <f t="shared" si="30"/>
        <v>85000</v>
      </c>
      <c r="H49" s="630">
        <f t="shared" si="31"/>
        <v>90312.5</v>
      </c>
      <c r="I49" s="631">
        <f t="shared" si="32"/>
        <v>95957.03125</v>
      </c>
    </row>
    <row r="50" spans="1:9" x14ac:dyDescent="0.2">
      <c r="A50" s="632" t="s">
        <v>42</v>
      </c>
      <c r="B50" s="633">
        <f>SUM(B42:B49)</f>
        <v>5584478.3600000003</v>
      </c>
      <c r="C50" s="663">
        <f>SUM(C41:C49)</f>
        <v>6064194.5079999994</v>
      </c>
      <c r="D50" s="663">
        <f t="shared" ref="D50:E50" si="33">SUM(D41:D49)</f>
        <v>0</v>
      </c>
      <c r="E50" s="663">
        <f t="shared" si="33"/>
        <v>6064194.5079999994</v>
      </c>
      <c r="F50" s="634">
        <f t="shared" ref="F50:G50" si="34">SUM(F41:F49)</f>
        <v>0</v>
      </c>
      <c r="G50" s="634">
        <f t="shared" si="34"/>
        <v>6064194.5079999994</v>
      </c>
      <c r="H50" s="634">
        <f>SUM(H41:H49)</f>
        <v>6443206.6647500005</v>
      </c>
      <c r="I50" s="634">
        <f>SUM(I41:I49)</f>
        <v>6845907.0812968751</v>
      </c>
    </row>
    <row r="51" spans="1:9" x14ac:dyDescent="0.2">
      <c r="A51" s="649"/>
      <c r="B51" s="640"/>
      <c r="C51" s="662"/>
      <c r="D51" s="662"/>
      <c r="E51" s="662"/>
      <c r="F51" s="630"/>
      <c r="G51" s="630"/>
      <c r="H51" s="630"/>
      <c r="I51" s="631"/>
    </row>
    <row r="52" spans="1:9" x14ac:dyDescent="0.2">
      <c r="A52" s="632" t="s">
        <v>46</v>
      </c>
      <c r="B52" s="633">
        <f ca="1">B50+B35+B31+B27+B19+B39</f>
        <v>168538443.94699997</v>
      </c>
      <c r="C52" s="663">
        <f>C50+C35+C31+C27+C19+C39</f>
        <v>88278443.148875013</v>
      </c>
      <c r="D52" s="663">
        <f t="shared" ref="D52:E52" si="35">D50+D35+D31+D27+D19+D39</f>
        <v>0</v>
      </c>
      <c r="E52" s="663">
        <f t="shared" si="35"/>
        <v>88278443.148875013</v>
      </c>
      <c r="F52" s="634">
        <f t="shared" ref="F52:G52" si="36">F50+F35+F31+F27+F19+F39</f>
        <v>0</v>
      </c>
      <c r="G52" s="634">
        <f t="shared" si="36"/>
        <v>88278443.148875013</v>
      </c>
      <c r="H52" s="634">
        <f>H50+H35+H31+H27+H19+H39</f>
        <v>93667206.8456797</v>
      </c>
      <c r="I52" s="635">
        <f>I50+I35+I31+I27+I19+I39</f>
        <v>99385821.767534673</v>
      </c>
    </row>
    <row r="53" spans="1:9" x14ac:dyDescent="0.2">
      <c r="A53" s="650"/>
      <c r="B53" s="651"/>
      <c r="C53" s="662"/>
      <c r="D53" s="662"/>
      <c r="E53" s="662"/>
      <c r="F53" s="630"/>
      <c r="G53" s="630"/>
      <c r="H53" s="630"/>
      <c r="I53" s="631"/>
    </row>
    <row r="54" spans="1:9" ht="12.75" thickBot="1" x14ac:dyDescent="0.25">
      <c r="A54" s="652" t="s">
        <v>282</v>
      </c>
      <c r="B54" s="653">
        <f ca="1">B52+B7</f>
        <v>-59409057.419</v>
      </c>
      <c r="C54" s="666">
        <f>C52+C7</f>
        <v>-47988123.507687494</v>
      </c>
      <c r="D54" s="666">
        <f t="shared" ref="D54:E54" si="37">D52+D7</f>
        <v>0</v>
      </c>
      <c r="E54" s="666">
        <f t="shared" si="37"/>
        <v>-47988123.507687494</v>
      </c>
      <c r="F54" s="654">
        <f>F52+F7</f>
        <v>0</v>
      </c>
      <c r="G54" s="654">
        <f>G52+G7</f>
        <v>-47988123.507687494</v>
      </c>
      <c r="H54" s="654">
        <f>H52+H7</f>
        <v>-51116020.226917952</v>
      </c>
      <c r="I54" s="654">
        <f>I52+I7</f>
        <v>-54446356.997100353</v>
      </c>
    </row>
  </sheetData>
  <pageMargins left="0.70866141732283505" right="0.70866141732283505" top="0.74803149606299202" bottom="0.74803149606299202" header="0.31496062992126" footer="0.31496062992126"/>
  <pageSetup scale="60" orientation="landscape" r:id="rId1"/>
  <headerFooter>
    <oddFooter>&amp;C&amp;A&amp;RPage &amp;P</oddFooter>
  </headerFooter>
  <legacy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1">
    <pageSetUpPr fitToPage="1"/>
  </sheetPr>
  <dimension ref="A1:I49"/>
  <sheetViews>
    <sheetView view="pageBreakPreview" topLeftCell="A24" zoomScaleNormal="110" zoomScaleSheetLayoutView="100" workbookViewId="0">
      <selection activeCell="C24" sqref="C24"/>
    </sheetView>
  </sheetViews>
  <sheetFormatPr defaultColWidth="9.140625" defaultRowHeight="15" x14ac:dyDescent="0.25"/>
  <cols>
    <col min="1" max="1" width="39" style="352" customWidth="1"/>
    <col min="2" max="2" width="17.28515625" style="247" hidden="1" customWidth="1"/>
    <col min="3" max="7" width="14.28515625" style="247" customWidth="1"/>
    <col min="8" max="8" width="16.28515625" style="247" customWidth="1"/>
    <col min="9" max="9" width="14.140625" style="483" customWidth="1"/>
    <col min="10" max="16384" width="9.140625" style="483"/>
  </cols>
  <sheetData>
    <row r="1" spans="1:9" ht="18.75" x14ac:dyDescent="0.3">
      <c r="A1" s="519" t="s">
        <v>497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ht="45.75" customHeight="1" thickBot="1" x14ac:dyDescent="0.3">
      <c r="A3" s="517" t="s">
        <v>39</v>
      </c>
      <c r="B3" s="537" t="s">
        <v>393</v>
      </c>
      <c r="C3" s="538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538" t="s">
        <v>556</v>
      </c>
      <c r="I3" s="428" t="s">
        <v>644</v>
      </c>
    </row>
    <row r="4" spans="1:9" s="563" customFormat="1" x14ac:dyDescent="0.25">
      <c r="A4" s="560" t="s">
        <v>187</v>
      </c>
      <c r="B4" s="160">
        <v>-18260825.895</v>
      </c>
      <c r="C4" s="158">
        <f>B4+(B4*6.25%)</f>
        <v>-19402127.513437498</v>
      </c>
      <c r="D4" s="158"/>
      <c r="E4" s="158">
        <f>C4-D4</f>
        <v>-19402127.513437498</v>
      </c>
      <c r="F4" s="630">
        <v>0</v>
      </c>
      <c r="G4" s="158">
        <f>C4+F4</f>
        <v>-19402127.513437498</v>
      </c>
      <c r="H4" s="158">
        <f>C4+(C4*6.25%)</f>
        <v>-20614760.483027343</v>
      </c>
      <c r="I4" s="386">
        <f>H4+(H4*6.25%)</f>
        <v>-21903183.013216551</v>
      </c>
    </row>
    <row r="5" spans="1:9" s="563" customFormat="1" x14ac:dyDescent="0.25">
      <c r="A5" s="560" t="s">
        <v>188</v>
      </c>
      <c r="B5" s="160">
        <v>-58818.474000000002</v>
      </c>
      <c r="C5" s="158">
        <f t="shared" ref="C5:I6" si="0">B5+(B5*6.25%)</f>
        <v>-62494.628625000005</v>
      </c>
      <c r="D5" s="158"/>
      <c r="E5" s="158">
        <f t="shared" ref="E5:E6" si="1">C5-D5</f>
        <v>-62494.628625000005</v>
      </c>
      <c r="F5" s="630">
        <v>0</v>
      </c>
      <c r="G5" s="158">
        <f t="shared" ref="G5:G6" si="2">C5+F5</f>
        <v>-62494.628625000005</v>
      </c>
      <c r="H5" s="158">
        <f>C5+(C5*6.25%)</f>
        <v>-66400.542914062506</v>
      </c>
      <c r="I5" s="386">
        <f t="shared" si="0"/>
        <v>-70550.576846191412</v>
      </c>
    </row>
    <row r="6" spans="1:9" s="563" customFormat="1" x14ac:dyDescent="0.25">
      <c r="A6" s="560" t="s">
        <v>253</v>
      </c>
      <c r="B6" s="160">
        <v>-3826708.3530000001</v>
      </c>
      <c r="C6" s="158">
        <f t="shared" si="0"/>
        <v>-4065877.6250625001</v>
      </c>
      <c r="D6" s="158"/>
      <c r="E6" s="158">
        <f t="shared" si="1"/>
        <v>-4065877.6250625001</v>
      </c>
      <c r="F6" s="630">
        <v>0</v>
      </c>
      <c r="G6" s="158">
        <f t="shared" si="2"/>
        <v>-4065877.6250625001</v>
      </c>
      <c r="H6" s="158">
        <f>C6+(C6*6.25%)</f>
        <v>-4319994.9766289061</v>
      </c>
      <c r="I6" s="386">
        <f t="shared" si="0"/>
        <v>-4589994.6626682123</v>
      </c>
    </row>
    <row r="7" spans="1:9" s="563" customFormat="1" x14ac:dyDescent="0.25">
      <c r="A7" s="424" t="s">
        <v>182</v>
      </c>
      <c r="B7" s="246">
        <f>SUM(B4:B6)</f>
        <v>-22146352.721999999</v>
      </c>
      <c r="C7" s="246">
        <f>SUM(C4:C6)</f>
        <v>-23530499.767124999</v>
      </c>
      <c r="D7" s="246">
        <f t="shared" ref="D7:E7" si="3">SUM(D4:D6)</f>
        <v>0</v>
      </c>
      <c r="E7" s="246">
        <f t="shared" si="3"/>
        <v>-23530499.767124999</v>
      </c>
      <c r="F7" s="246">
        <f t="shared" ref="F7:G7" si="4">SUM(F4:F6)</f>
        <v>0</v>
      </c>
      <c r="G7" s="246">
        <f t="shared" si="4"/>
        <v>-23530499.767124999</v>
      </c>
      <c r="H7" s="246">
        <f>SUM(H4:H6)</f>
        <v>-25001156.002570312</v>
      </c>
      <c r="I7" s="387">
        <f>SUM(I4:I6)</f>
        <v>-26563728.252730954</v>
      </c>
    </row>
    <row r="8" spans="1:9" s="563" customFormat="1" ht="18.75" x14ac:dyDescent="0.3">
      <c r="A8" s="561"/>
      <c r="B8" s="567"/>
      <c r="C8" s="562"/>
      <c r="D8" s="568"/>
      <c r="E8" s="568"/>
      <c r="F8" s="568"/>
      <c r="G8" s="568"/>
      <c r="H8" s="568"/>
      <c r="I8" s="386">
        <f>H8+(H8*5.4%)</f>
        <v>0</v>
      </c>
    </row>
    <row r="9" spans="1:9" s="563" customFormat="1" x14ac:dyDescent="0.25">
      <c r="A9" s="253" t="s">
        <v>2</v>
      </c>
      <c r="B9" s="158">
        <v>1634035</v>
      </c>
      <c r="C9" s="158">
        <f>B9+(B9*6.25%)</f>
        <v>1736162.1875</v>
      </c>
      <c r="D9" s="158"/>
      <c r="E9" s="158">
        <f t="shared" ref="E9:E17" si="5">C9-D9</f>
        <v>1736162.1875</v>
      </c>
      <c r="F9" s="630">
        <v>0</v>
      </c>
      <c r="G9" s="158">
        <f t="shared" ref="G9:G17" si="6">C9+F9</f>
        <v>1736162.1875</v>
      </c>
      <c r="H9" s="158">
        <f t="shared" ref="H9:H17" si="7">C9+(C9*6.25%)</f>
        <v>1844672.32421875</v>
      </c>
      <c r="I9" s="386">
        <f>H9+(H9*6.25%)</f>
        <v>1959964.3444824219</v>
      </c>
    </row>
    <row r="10" spans="1:9" s="563" customFormat="1" x14ac:dyDescent="0.25">
      <c r="A10" s="253" t="s">
        <v>3</v>
      </c>
      <c r="B10" s="158">
        <v>136667</v>
      </c>
      <c r="C10" s="158">
        <f t="shared" ref="C10:I17" si="8">B10+(B10*6.25%)</f>
        <v>145208.6875</v>
      </c>
      <c r="D10" s="158"/>
      <c r="E10" s="158">
        <f t="shared" si="5"/>
        <v>145208.6875</v>
      </c>
      <c r="F10" s="630">
        <v>0</v>
      </c>
      <c r="G10" s="158">
        <f t="shared" si="6"/>
        <v>145208.6875</v>
      </c>
      <c r="H10" s="158">
        <f t="shared" si="7"/>
        <v>154284.23046875</v>
      </c>
      <c r="I10" s="386">
        <f t="shared" si="8"/>
        <v>163926.99487304688</v>
      </c>
    </row>
    <row r="11" spans="1:9" s="563" customFormat="1" x14ac:dyDescent="0.25">
      <c r="A11" s="253" t="s">
        <v>17</v>
      </c>
      <c r="B11" s="158">
        <v>614368</v>
      </c>
      <c r="C11" s="158">
        <f t="shared" si="8"/>
        <v>652766</v>
      </c>
      <c r="D11" s="158"/>
      <c r="E11" s="158">
        <f t="shared" si="5"/>
        <v>652766</v>
      </c>
      <c r="F11" s="630">
        <v>0</v>
      </c>
      <c r="G11" s="158">
        <f t="shared" si="6"/>
        <v>652766</v>
      </c>
      <c r="H11" s="158">
        <f t="shared" si="7"/>
        <v>693563.875</v>
      </c>
      <c r="I11" s="386">
        <f t="shared" si="8"/>
        <v>736911.6171875</v>
      </c>
    </row>
    <row r="12" spans="1:9" s="563" customFormat="1" x14ac:dyDescent="0.25">
      <c r="A12" s="253" t="s">
        <v>193</v>
      </c>
      <c r="B12" s="158">
        <v>2500</v>
      </c>
      <c r="C12" s="158">
        <f t="shared" si="8"/>
        <v>2656.25</v>
      </c>
      <c r="D12" s="158"/>
      <c r="E12" s="158">
        <f t="shared" si="5"/>
        <v>2656.25</v>
      </c>
      <c r="F12" s="630">
        <v>0</v>
      </c>
      <c r="G12" s="158">
        <f t="shared" si="6"/>
        <v>2656.25</v>
      </c>
      <c r="H12" s="158">
        <f t="shared" si="7"/>
        <v>2822.265625</v>
      </c>
      <c r="I12" s="386">
        <f t="shared" si="8"/>
        <v>2998.6572265625</v>
      </c>
    </row>
    <row r="13" spans="1:9" s="563" customFormat="1" x14ac:dyDescent="0.25">
      <c r="A13" s="253" t="s">
        <v>172</v>
      </c>
      <c r="B13" s="158">
        <v>582957.446</v>
      </c>
      <c r="C13" s="158">
        <f t="shared" si="8"/>
        <v>619392.28637500003</v>
      </c>
      <c r="D13" s="158"/>
      <c r="E13" s="158">
        <f t="shared" si="5"/>
        <v>619392.28637500003</v>
      </c>
      <c r="F13" s="630">
        <v>0</v>
      </c>
      <c r="G13" s="158">
        <f t="shared" si="6"/>
        <v>619392.28637500003</v>
      </c>
      <c r="H13" s="158">
        <f t="shared" si="7"/>
        <v>658104.30427343748</v>
      </c>
      <c r="I13" s="386">
        <f t="shared" si="8"/>
        <v>699235.82329052733</v>
      </c>
    </row>
    <row r="14" spans="1:9" s="563" customFormat="1" x14ac:dyDescent="0.25">
      <c r="A14" s="253" t="s">
        <v>4</v>
      </c>
      <c r="B14" s="158">
        <v>17822.025000000001</v>
      </c>
      <c r="C14" s="158">
        <f t="shared" si="8"/>
        <v>18935.901562500003</v>
      </c>
      <c r="D14" s="158"/>
      <c r="E14" s="158">
        <f t="shared" si="5"/>
        <v>18935.901562500003</v>
      </c>
      <c r="F14" s="630">
        <v>0</v>
      </c>
      <c r="G14" s="158">
        <f t="shared" si="6"/>
        <v>18935.901562500003</v>
      </c>
      <c r="H14" s="158">
        <f t="shared" si="7"/>
        <v>20119.395410156252</v>
      </c>
      <c r="I14" s="386">
        <f t="shared" si="8"/>
        <v>21376.857623291016</v>
      </c>
    </row>
    <row r="15" spans="1:9" s="563" customFormat="1" x14ac:dyDescent="0.25">
      <c r="A15" s="253" t="s">
        <v>5</v>
      </c>
      <c r="B15" s="158">
        <v>36317.97</v>
      </c>
      <c r="C15" s="158">
        <f t="shared" si="8"/>
        <v>38587.843124999999</v>
      </c>
      <c r="D15" s="158"/>
      <c r="E15" s="158">
        <f t="shared" si="5"/>
        <v>38587.843124999999</v>
      </c>
      <c r="F15" s="630">
        <v>0</v>
      </c>
      <c r="G15" s="158">
        <f t="shared" si="6"/>
        <v>38587.843124999999</v>
      </c>
      <c r="H15" s="158">
        <f t="shared" si="7"/>
        <v>40999.5833203125</v>
      </c>
      <c r="I15" s="386">
        <f t="shared" si="8"/>
        <v>43562.057277832035</v>
      </c>
    </row>
    <row r="16" spans="1:9" s="563" customFormat="1" x14ac:dyDescent="0.25">
      <c r="A16" s="253" t="s">
        <v>258</v>
      </c>
      <c r="B16" s="158">
        <v>41806.205999999998</v>
      </c>
      <c r="C16" s="158">
        <f t="shared" si="8"/>
        <v>44419.093874999999</v>
      </c>
      <c r="D16" s="158"/>
      <c r="E16" s="158">
        <f t="shared" si="5"/>
        <v>44419.093874999999</v>
      </c>
      <c r="F16" s="630">
        <v>0</v>
      </c>
      <c r="G16" s="158">
        <f t="shared" si="6"/>
        <v>44419.093874999999</v>
      </c>
      <c r="H16" s="158">
        <f t="shared" si="7"/>
        <v>47195.2872421875</v>
      </c>
      <c r="I16" s="386">
        <f t="shared" si="8"/>
        <v>50144.992694824221</v>
      </c>
    </row>
    <row r="17" spans="1:9" s="563" customFormat="1" x14ac:dyDescent="0.25">
      <c r="A17" s="253" t="s">
        <v>273</v>
      </c>
      <c r="B17" s="158">
        <v>46623.680999999997</v>
      </c>
      <c r="C17" s="158">
        <f t="shared" si="8"/>
        <v>49537.661062499996</v>
      </c>
      <c r="D17" s="158"/>
      <c r="E17" s="158">
        <f t="shared" si="5"/>
        <v>49537.661062499996</v>
      </c>
      <c r="F17" s="630">
        <v>0</v>
      </c>
      <c r="G17" s="158">
        <f t="shared" si="6"/>
        <v>49537.661062499996</v>
      </c>
      <c r="H17" s="158">
        <f t="shared" si="7"/>
        <v>52633.764878906244</v>
      </c>
      <c r="I17" s="386">
        <f t="shared" si="8"/>
        <v>55923.375183837881</v>
      </c>
    </row>
    <row r="18" spans="1:9" s="563" customFormat="1" x14ac:dyDescent="0.25">
      <c r="A18" s="424" t="s">
        <v>40</v>
      </c>
      <c r="B18" s="246">
        <f>SUM(B9:B17)</f>
        <v>3113097.3279999997</v>
      </c>
      <c r="C18" s="246">
        <f>SUM(C9:C17)</f>
        <v>3307665.9109999998</v>
      </c>
      <c r="D18" s="246">
        <f t="shared" ref="D18:F18" si="9">SUM(D9:D17)</f>
        <v>0</v>
      </c>
      <c r="E18" s="246">
        <f t="shared" si="9"/>
        <v>3307665.9109999998</v>
      </c>
      <c r="F18" s="246">
        <f t="shared" si="9"/>
        <v>0</v>
      </c>
      <c r="G18" s="246">
        <f t="shared" ref="G18" si="10">SUM(G9:G17)</f>
        <v>3307665.9109999998</v>
      </c>
      <c r="H18" s="246">
        <f>SUM(H9:H17)</f>
        <v>3514395.0304375007</v>
      </c>
      <c r="I18" s="387">
        <f>SUM(I9:I17)</f>
        <v>3734044.7198398439</v>
      </c>
    </row>
    <row r="19" spans="1:9" s="563" customFormat="1" x14ac:dyDescent="0.25">
      <c r="A19" s="253"/>
      <c r="B19" s="158"/>
      <c r="C19" s="158"/>
      <c r="D19" s="239"/>
      <c r="E19" s="239"/>
      <c r="F19" s="239"/>
      <c r="G19" s="239"/>
      <c r="H19" s="239"/>
      <c r="I19" s="386">
        <f>H19+(H19*5.4%)</f>
        <v>0</v>
      </c>
    </row>
    <row r="20" spans="1:9" s="563" customFormat="1" x14ac:dyDescent="0.25">
      <c r="A20" s="253" t="s">
        <v>6</v>
      </c>
      <c r="B20" s="158">
        <v>162615</v>
      </c>
      <c r="C20" s="158">
        <f>B20+(B20*6.25%)</f>
        <v>172778.4375</v>
      </c>
      <c r="D20" s="158"/>
      <c r="E20" s="158">
        <f t="shared" ref="E20:E24" si="11">C20-D20</f>
        <v>172778.4375</v>
      </c>
      <c r="F20" s="630">
        <v>0</v>
      </c>
      <c r="G20" s="158">
        <f t="shared" ref="G20:G24" si="12">C20+F20</f>
        <v>172778.4375</v>
      </c>
      <c r="H20" s="158">
        <f>C20+(C20*6.25%)</f>
        <v>183577.08984375</v>
      </c>
      <c r="I20" s="386">
        <f>H20+(H20*6.25%)</f>
        <v>195050.65795898438</v>
      </c>
    </row>
    <row r="21" spans="1:9" s="563" customFormat="1" x14ac:dyDescent="0.25">
      <c r="A21" s="253" t="s">
        <v>7</v>
      </c>
      <c r="B21" s="158">
        <v>166656</v>
      </c>
      <c r="C21" s="158">
        <f t="shared" ref="C21:I24" si="13">B21+(B21*6.25%)</f>
        <v>177072</v>
      </c>
      <c r="D21" s="158"/>
      <c r="E21" s="158">
        <f t="shared" si="11"/>
        <v>177072</v>
      </c>
      <c r="F21" s="630">
        <v>0</v>
      </c>
      <c r="G21" s="158">
        <f t="shared" si="12"/>
        <v>177072</v>
      </c>
      <c r="H21" s="158">
        <f>C21+(C21*6.25%)</f>
        <v>188139</v>
      </c>
      <c r="I21" s="386">
        <f t="shared" si="13"/>
        <v>199897.6875</v>
      </c>
    </row>
    <row r="22" spans="1:9" s="563" customFormat="1" x14ac:dyDescent="0.25">
      <c r="A22" s="253" t="s">
        <v>53</v>
      </c>
      <c r="B22" s="158">
        <v>344578</v>
      </c>
      <c r="C22" s="158">
        <f t="shared" si="13"/>
        <v>366114.125</v>
      </c>
      <c r="D22" s="158"/>
      <c r="E22" s="158">
        <f t="shared" si="11"/>
        <v>366114.125</v>
      </c>
      <c r="F22" s="630">
        <v>0</v>
      </c>
      <c r="G22" s="158">
        <f t="shared" si="12"/>
        <v>366114.125</v>
      </c>
      <c r="H22" s="158">
        <f>C22+(C22*6.25%)</f>
        <v>388996.2578125</v>
      </c>
      <c r="I22" s="386">
        <f t="shared" si="13"/>
        <v>413308.52392578125</v>
      </c>
    </row>
    <row r="23" spans="1:9" s="563" customFormat="1" x14ac:dyDescent="0.25">
      <c r="A23" s="253" t="s">
        <v>174</v>
      </c>
      <c r="B23" s="158">
        <v>519.12900000000002</v>
      </c>
      <c r="C23" s="158">
        <f t="shared" si="13"/>
        <v>551.57456250000007</v>
      </c>
      <c r="D23" s="158"/>
      <c r="E23" s="158">
        <f t="shared" si="11"/>
        <v>551.57456250000007</v>
      </c>
      <c r="F23" s="630">
        <v>0</v>
      </c>
      <c r="G23" s="158">
        <f t="shared" si="12"/>
        <v>551.57456250000007</v>
      </c>
      <c r="H23" s="158">
        <f>C23+(C23*6.25%)</f>
        <v>586.04797265625007</v>
      </c>
      <c r="I23" s="386">
        <f t="shared" si="13"/>
        <v>622.67597094726568</v>
      </c>
    </row>
    <row r="24" spans="1:9" s="563" customFormat="1" x14ac:dyDescent="0.25">
      <c r="A24" s="253" t="s">
        <v>175</v>
      </c>
      <c r="B24" s="158">
        <v>5186.0249999999996</v>
      </c>
      <c r="C24" s="158">
        <f t="shared" si="13"/>
        <v>5510.1515624999993</v>
      </c>
      <c r="D24" s="158"/>
      <c r="E24" s="158">
        <f t="shared" si="11"/>
        <v>5510.1515624999993</v>
      </c>
      <c r="F24" s="630">
        <v>0</v>
      </c>
      <c r="G24" s="158">
        <f t="shared" si="12"/>
        <v>5510.1515624999993</v>
      </c>
      <c r="H24" s="158">
        <f>C24+(C24*6.25%)</f>
        <v>5854.5360351562495</v>
      </c>
      <c r="I24" s="386">
        <f t="shared" si="13"/>
        <v>6220.4445373535154</v>
      </c>
    </row>
    <row r="25" spans="1:9" s="563" customFormat="1" x14ac:dyDescent="0.25"/>
    <row r="26" spans="1:9" s="563" customFormat="1" x14ac:dyDescent="0.25">
      <c r="A26" s="424" t="s">
        <v>41</v>
      </c>
      <c r="B26" s="246">
        <f ca="1">SUM(B20:B37)</f>
        <v>8159443.4159999983</v>
      </c>
      <c r="C26" s="246">
        <f>SUM(C20:C24)</f>
        <v>722026.28862500004</v>
      </c>
      <c r="D26" s="246">
        <f t="shared" ref="D26:E26" si="14">SUM(D20:D24)</f>
        <v>0</v>
      </c>
      <c r="E26" s="246">
        <f t="shared" si="14"/>
        <v>722026.28862500004</v>
      </c>
      <c r="F26" s="246">
        <f t="shared" ref="F26:G26" si="15">SUM(F20:F24)</f>
        <v>0</v>
      </c>
      <c r="G26" s="246">
        <f t="shared" si="15"/>
        <v>722026.28862500004</v>
      </c>
      <c r="H26" s="246">
        <f>SUM(H20:H24)</f>
        <v>767152.93166406243</v>
      </c>
      <c r="I26" s="246">
        <f>SUM(I20:I24)</f>
        <v>815099.98989306635</v>
      </c>
    </row>
    <row r="27" spans="1:9" s="563" customFormat="1" x14ac:dyDescent="0.25">
      <c r="A27" s="477"/>
      <c r="B27" s="246"/>
      <c r="C27" s="246"/>
      <c r="D27" s="246"/>
      <c r="E27" s="246"/>
      <c r="F27" s="246"/>
      <c r="G27" s="246"/>
      <c r="H27" s="246"/>
      <c r="I27" s="246"/>
    </row>
    <row r="28" spans="1:9" s="563" customFormat="1" x14ac:dyDescent="0.25">
      <c r="A28" s="477"/>
      <c r="B28" s="246"/>
      <c r="C28" s="246"/>
      <c r="D28" s="351"/>
      <c r="E28" s="351"/>
      <c r="F28" s="351"/>
      <c r="G28" s="351"/>
      <c r="H28" s="351"/>
      <c r="I28" s="386"/>
    </row>
    <row r="29" spans="1:9" s="563" customFormat="1" x14ac:dyDescent="0.25">
      <c r="A29" s="253" t="s">
        <v>244</v>
      </c>
      <c r="B29" s="160">
        <v>2514807.2429999998</v>
      </c>
      <c r="C29" s="158">
        <f>B29+(B29*6.25%)</f>
        <v>2671982.6956874998</v>
      </c>
      <c r="D29" s="158"/>
      <c r="E29" s="158">
        <f t="shared" ref="E29" si="16">C29-D29</f>
        <v>2671982.6956874998</v>
      </c>
      <c r="F29" s="630">
        <v>0</v>
      </c>
      <c r="G29" s="158">
        <f t="shared" ref="G29" si="17">C29+F29</f>
        <v>2671982.6956874998</v>
      </c>
      <c r="H29" s="158">
        <f>C29+(C29*6.25%)</f>
        <v>2838981.6141679687</v>
      </c>
      <c r="I29" s="386">
        <f>H29+(H29*6.25%)</f>
        <v>3016417.9650534666</v>
      </c>
    </row>
    <row r="30" spans="1:9" s="563" customFormat="1" x14ac:dyDescent="0.25">
      <c r="A30" s="424" t="s">
        <v>244</v>
      </c>
      <c r="B30" s="246">
        <f>SUM(B29)</f>
        <v>2514807.2429999998</v>
      </c>
      <c r="C30" s="246">
        <f>SUM(C29)</f>
        <v>2671982.6956874998</v>
      </c>
      <c r="D30" s="246">
        <f t="shared" ref="D30:E30" si="18">SUM(D29)</f>
        <v>0</v>
      </c>
      <c r="E30" s="246">
        <f t="shared" si="18"/>
        <v>2671982.6956874998</v>
      </c>
      <c r="F30" s="246">
        <f t="shared" ref="F30:G30" si="19">SUM(F29)</f>
        <v>0</v>
      </c>
      <c r="G30" s="246">
        <f t="shared" si="19"/>
        <v>2671982.6956874998</v>
      </c>
      <c r="H30" s="246">
        <f>SUM(H29)</f>
        <v>2838981.6141679687</v>
      </c>
      <c r="I30" s="387">
        <f>SUM(I29)</f>
        <v>3016417.9650534666</v>
      </c>
    </row>
    <row r="31" spans="1:9" s="563" customFormat="1" x14ac:dyDescent="0.25">
      <c r="A31" s="253"/>
      <c r="B31" s="158"/>
      <c r="C31" s="158"/>
      <c r="D31" s="239"/>
      <c r="E31" s="239"/>
      <c r="F31" s="239"/>
      <c r="G31" s="239"/>
      <c r="H31" s="239"/>
      <c r="I31" s="386"/>
    </row>
    <row r="32" spans="1:9" s="563" customFormat="1" x14ac:dyDescent="0.25">
      <c r="A32" s="253" t="s">
        <v>176</v>
      </c>
      <c r="B32" s="158">
        <v>50000</v>
      </c>
      <c r="C32" s="158">
        <f>B32+(B32*6.25%)</f>
        <v>53125</v>
      </c>
      <c r="D32" s="158"/>
      <c r="E32" s="158">
        <f t="shared" ref="E32:E34" si="20">C32-D32</f>
        <v>53125</v>
      </c>
      <c r="F32" s="630">
        <v>0</v>
      </c>
      <c r="G32" s="158">
        <f t="shared" ref="G32:G34" si="21">C32+F32</f>
        <v>53125</v>
      </c>
      <c r="H32" s="158">
        <f>C32+(C32*6.25%)</f>
        <v>56445.3125</v>
      </c>
      <c r="I32" s="386">
        <f>H32+(H32*6.25%)</f>
        <v>59973.14453125</v>
      </c>
    </row>
    <row r="33" spans="1:9" s="563" customFormat="1" x14ac:dyDescent="0.25">
      <c r="A33" s="253" t="s">
        <v>177</v>
      </c>
      <c r="B33" s="158">
        <f>3772095-3000000</f>
        <v>772095</v>
      </c>
      <c r="C33" s="158">
        <f t="shared" ref="C33:I34" si="22">B33+(B33*6.25%)</f>
        <v>820350.9375</v>
      </c>
      <c r="D33" s="158"/>
      <c r="E33" s="158">
        <f t="shared" si="20"/>
        <v>820350.9375</v>
      </c>
      <c r="F33" s="630">
        <v>0</v>
      </c>
      <c r="G33" s="158">
        <f t="shared" si="21"/>
        <v>820350.9375</v>
      </c>
      <c r="H33" s="158">
        <f>C33+(C33*6.25%)</f>
        <v>871622.87109375</v>
      </c>
      <c r="I33" s="386">
        <f t="shared" si="22"/>
        <v>926099.30053710938</v>
      </c>
    </row>
    <row r="34" spans="1:9" s="563" customFormat="1" x14ac:dyDescent="0.25">
      <c r="A34" s="253" t="s">
        <v>20</v>
      </c>
      <c r="B34" s="158">
        <v>37723.724999999999</v>
      </c>
      <c r="C34" s="158">
        <f t="shared" si="22"/>
        <v>40081.457812499997</v>
      </c>
      <c r="D34" s="158"/>
      <c r="E34" s="158">
        <f t="shared" si="20"/>
        <v>40081.457812499997</v>
      </c>
      <c r="F34" s="630">
        <v>0</v>
      </c>
      <c r="G34" s="158">
        <f t="shared" si="21"/>
        <v>40081.457812499997</v>
      </c>
      <c r="H34" s="158">
        <f>C34+(C34*6.25%)</f>
        <v>42586.548925781244</v>
      </c>
      <c r="I34" s="386">
        <f t="shared" si="22"/>
        <v>45248.208233642574</v>
      </c>
    </row>
    <row r="35" spans="1:9" s="563" customFormat="1" x14ac:dyDescent="0.25">
      <c r="A35" s="424" t="s">
        <v>43</v>
      </c>
      <c r="B35" s="246">
        <f>SUM(B32:B34)</f>
        <v>859818.72499999998</v>
      </c>
      <c r="C35" s="246">
        <f>SUM(C32:C34)</f>
        <v>913557.39531249995</v>
      </c>
      <c r="D35" s="246">
        <f t="shared" ref="D35:E35" si="23">SUM(D32:D34)</f>
        <v>0</v>
      </c>
      <c r="E35" s="246">
        <f t="shared" si="23"/>
        <v>913557.39531249995</v>
      </c>
      <c r="F35" s="246">
        <f t="shared" ref="F35:G35" si="24">SUM(F32:F34)</f>
        <v>0</v>
      </c>
      <c r="G35" s="246">
        <f t="shared" si="24"/>
        <v>913557.39531249995</v>
      </c>
      <c r="H35" s="246">
        <f>SUM(H32:H34)</f>
        <v>970654.73251953127</v>
      </c>
      <c r="I35" s="387">
        <f>SUM(I32:I34)</f>
        <v>1031320.653302002</v>
      </c>
    </row>
    <row r="36" spans="1:9" s="563" customFormat="1" x14ac:dyDescent="0.25">
      <c r="A36" s="477"/>
      <c r="B36" s="246"/>
      <c r="C36" s="246"/>
      <c r="D36" s="351"/>
      <c r="E36" s="351"/>
      <c r="F36" s="351"/>
      <c r="G36" s="351"/>
      <c r="H36" s="351"/>
      <c r="I36" s="387"/>
    </row>
    <row r="37" spans="1:9" s="563" customFormat="1" x14ac:dyDescent="0.25">
      <c r="A37" s="253" t="s">
        <v>196</v>
      </c>
      <c r="B37" s="158">
        <v>25541.585999999999</v>
      </c>
      <c r="C37" s="158">
        <f>B37+(B37*6.25%)</f>
        <v>27137.935125</v>
      </c>
      <c r="D37" s="158"/>
      <c r="E37" s="158">
        <f t="shared" ref="E37:E43" si="25">C37-D37</f>
        <v>27137.935125</v>
      </c>
      <c r="F37" s="630">
        <v>0</v>
      </c>
      <c r="G37" s="158">
        <f t="shared" ref="G37:G43" si="26">C37+F37</f>
        <v>27137.935125</v>
      </c>
      <c r="H37" s="158">
        <f t="shared" ref="H37:H43" si="27">C37+(C37*6.25%)</f>
        <v>28834.056070312501</v>
      </c>
      <c r="I37" s="386">
        <f>H37+(H37*5.4%)</f>
        <v>30391.095098109377</v>
      </c>
    </row>
    <row r="38" spans="1:9" s="563" customFormat="1" x14ac:dyDescent="0.25">
      <c r="A38" s="253" t="s">
        <v>80</v>
      </c>
      <c r="B38" s="158">
        <v>50000</v>
      </c>
      <c r="C38" s="158">
        <f>B38+(B38*6.25%)</f>
        <v>53125</v>
      </c>
      <c r="D38" s="158"/>
      <c r="E38" s="158">
        <f t="shared" si="25"/>
        <v>53125</v>
      </c>
      <c r="F38" s="630">
        <v>0</v>
      </c>
      <c r="G38" s="158">
        <f t="shared" si="26"/>
        <v>53125</v>
      </c>
      <c r="H38" s="158">
        <f t="shared" si="27"/>
        <v>56445.3125</v>
      </c>
      <c r="I38" s="386">
        <f>H38+(H38*6.25%)</f>
        <v>59973.14453125</v>
      </c>
    </row>
    <row r="39" spans="1:9" s="563" customFormat="1" x14ac:dyDescent="0.25">
      <c r="A39" s="253" t="s">
        <v>24</v>
      </c>
      <c r="B39" s="158">
        <v>124289.802</v>
      </c>
      <c r="C39" s="158">
        <f t="shared" ref="C39:I43" si="28">B39+(B39*6.25%)</f>
        <v>132057.914625</v>
      </c>
      <c r="D39" s="158"/>
      <c r="E39" s="158">
        <f t="shared" si="25"/>
        <v>132057.914625</v>
      </c>
      <c r="F39" s="630">
        <v>0</v>
      </c>
      <c r="G39" s="158">
        <f t="shared" si="26"/>
        <v>132057.914625</v>
      </c>
      <c r="H39" s="158">
        <f t="shared" si="27"/>
        <v>140311.53428906252</v>
      </c>
      <c r="I39" s="386">
        <f t="shared" si="28"/>
        <v>149081.00518212892</v>
      </c>
    </row>
    <row r="40" spans="1:9" s="563" customFormat="1" x14ac:dyDescent="0.25">
      <c r="A40" s="253" t="s">
        <v>384</v>
      </c>
      <c r="B40" s="158">
        <v>561.24900000000002</v>
      </c>
      <c r="C40" s="158">
        <f t="shared" si="28"/>
        <v>596.32706250000001</v>
      </c>
      <c r="D40" s="158"/>
      <c r="E40" s="158">
        <f t="shared" si="25"/>
        <v>596.32706250000001</v>
      </c>
      <c r="F40" s="630">
        <v>0</v>
      </c>
      <c r="G40" s="158">
        <f t="shared" si="26"/>
        <v>596.32706250000001</v>
      </c>
      <c r="H40" s="158">
        <f t="shared" si="27"/>
        <v>633.59750390625004</v>
      </c>
      <c r="I40" s="386">
        <f t="shared" si="28"/>
        <v>673.1973479003907</v>
      </c>
    </row>
    <row r="41" spans="1:9" s="563" customFormat="1" x14ac:dyDescent="0.25">
      <c r="A41" s="253" t="s">
        <v>378</v>
      </c>
      <c r="B41" s="158">
        <v>673.92</v>
      </c>
      <c r="C41" s="158">
        <f t="shared" si="28"/>
        <v>716.04</v>
      </c>
      <c r="D41" s="158"/>
      <c r="E41" s="158">
        <f t="shared" si="25"/>
        <v>716.04</v>
      </c>
      <c r="F41" s="630">
        <v>0</v>
      </c>
      <c r="G41" s="158">
        <f t="shared" si="26"/>
        <v>716.04</v>
      </c>
      <c r="H41" s="158">
        <f t="shared" si="27"/>
        <v>760.79250000000002</v>
      </c>
      <c r="I41" s="386">
        <f t="shared" si="28"/>
        <v>808.34203124999999</v>
      </c>
    </row>
    <row r="42" spans="1:9" s="563" customFormat="1" x14ac:dyDescent="0.25">
      <c r="A42" s="253" t="s">
        <v>178</v>
      </c>
      <c r="B42" s="158">
        <v>51709</v>
      </c>
      <c r="C42" s="158">
        <f t="shared" si="28"/>
        <v>54940.8125</v>
      </c>
      <c r="D42" s="158"/>
      <c r="E42" s="158">
        <f t="shared" si="25"/>
        <v>54940.8125</v>
      </c>
      <c r="F42" s="630">
        <v>0</v>
      </c>
      <c r="G42" s="158">
        <f t="shared" si="26"/>
        <v>54940.8125</v>
      </c>
      <c r="H42" s="158">
        <f t="shared" si="27"/>
        <v>58374.61328125</v>
      </c>
      <c r="I42" s="386">
        <f t="shared" si="28"/>
        <v>62023.026611328125</v>
      </c>
    </row>
    <row r="43" spans="1:9" s="563" customFormat="1" x14ac:dyDescent="0.25">
      <c r="A43" s="271" t="s">
        <v>57</v>
      </c>
      <c r="B43" s="158">
        <v>650000</v>
      </c>
      <c r="C43" s="158">
        <f t="shared" si="28"/>
        <v>690625</v>
      </c>
      <c r="D43" s="158"/>
      <c r="E43" s="158">
        <f t="shared" si="25"/>
        <v>690625</v>
      </c>
      <c r="F43" s="630">
        <v>0</v>
      </c>
      <c r="G43" s="158">
        <f t="shared" si="26"/>
        <v>690625</v>
      </c>
      <c r="H43" s="158">
        <f t="shared" si="27"/>
        <v>733789.0625</v>
      </c>
      <c r="I43" s="386">
        <f t="shared" si="28"/>
        <v>779650.87890625</v>
      </c>
    </row>
    <row r="44" spans="1:9" s="563" customFormat="1" x14ac:dyDescent="0.25">
      <c r="A44" s="424" t="s">
        <v>42</v>
      </c>
      <c r="B44" s="246">
        <f>SUM(B38:B43)</f>
        <v>877233.97100000002</v>
      </c>
      <c r="C44" s="246">
        <f>SUM(C37:C43)</f>
        <v>959199.02931250003</v>
      </c>
      <c r="D44" s="246">
        <f t="shared" ref="D44:E44" si="29">SUM(D37:D43)</f>
        <v>0</v>
      </c>
      <c r="E44" s="246">
        <f t="shared" si="29"/>
        <v>959199.02931250003</v>
      </c>
      <c r="F44" s="246">
        <f t="shared" ref="F44:G44" si="30">SUM(F37:F43)</f>
        <v>0</v>
      </c>
      <c r="G44" s="246">
        <f t="shared" si="30"/>
        <v>959199.02931250003</v>
      </c>
      <c r="H44" s="246">
        <f>SUM(H37:H43)</f>
        <v>1019148.9686445313</v>
      </c>
      <c r="I44" s="246">
        <f>SUM(I37:I43)</f>
        <v>1082600.6897082168</v>
      </c>
    </row>
    <row r="45" spans="1:9" s="563" customFormat="1" x14ac:dyDescent="0.25">
      <c r="A45" s="253"/>
      <c r="B45" s="158"/>
      <c r="C45" s="158"/>
      <c r="D45" s="239"/>
      <c r="E45" s="239"/>
      <c r="F45" s="239"/>
      <c r="G45" s="239"/>
      <c r="H45" s="239"/>
      <c r="I45" s="386"/>
    </row>
    <row r="46" spans="1:9" s="563" customFormat="1" x14ac:dyDescent="0.25">
      <c r="A46" s="424" t="s">
        <v>46</v>
      </c>
      <c r="B46" s="246">
        <f ca="1">B44+B35+B30+B26+B18</f>
        <v>15524400.682999996</v>
      </c>
      <c r="C46" s="246">
        <f>C18+C26+C30+C35+C44</f>
        <v>8574431.3199374992</v>
      </c>
      <c r="D46" s="246">
        <f t="shared" ref="D46:F46" si="31">D18+D26+D30+D35+D44</f>
        <v>0</v>
      </c>
      <c r="E46" s="246">
        <f t="shared" si="31"/>
        <v>8574431.3199374992</v>
      </c>
      <c r="F46" s="246">
        <f t="shared" si="31"/>
        <v>0</v>
      </c>
      <c r="G46" s="246">
        <f t="shared" ref="G46" si="32">G18+G26+G30+G35+G44</f>
        <v>8574431.3199374992</v>
      </c>
      <c r="H46" s="246">
        <f>SUM(H27,H30,H35,H44)</f>
        <v>4828785.3153320309</v>
      </c>
      <c r="I46" s="246">
        <f>SUM(I27,I30,I35,I44)</f>
        <v>5130339.3080636859</v>
      </c>
    </row>
    <row r="47" spans="1:9" x14ac:dyDescent="0.25">
      <c r="A47" s="565"/>
      <c r="B47" s="243"/>
      <c r="C47" s="243"/>
      <c r="D47" s="243"/>
      <c r="E47" s="243"/>
      <c r="F47" s="243"/>
      <c r="G47" s="243"/>
      <c r="H47" s="243"/>
      <c r="I47" s="569"/>
    </row>
    <row r="48" spans="1:9" x14ac:dyDescent="0.25">
      <c r="A48" s="565"/>
      <c r="B48" s="243"/>
      <c r="C48" s="243"/>
      <c r="D48" s="243"/>
      <c r="E48" s="243"/>
      <c r="F48" s="243"/>
      <c r="G48" s="243"/>
      <c r="H48" s="243"/>
      <c r="I48" s="569"/>
    </row>
    <row r="49" spans="1:9" ht="15.75" thickBot="1" x14ac:dyDescent="0.3">
      <c r="A49" s="566" t="s">
        <v>282</v>
      </c>
      <c r="B49" s="392">
        <f ca="1">B46+B7</f>
        <v>-14076299.715</v>
      </c>
      <c r="C49" s="392">
        <f>SUM(C7,C46)</f>
        <v>-14956068.4471875</v>
      </c>
      <c r="D49" s="392">
        <f t="shared" ref="D49:E49" si="33">SUM(D7,D46)</f>
        <v>0</v>
      </c>
      <c r="E49" s="392">
        <f t="shared" si="33"/>
        <v>-14956068.4471875</v>
      </c>
      <c r="F49" s="392">
        <f t="shared" ref="F49:G49" si="34">SUM(F7,F46)</f>
        <v>0</v>
      </c>
      <c r="G49" s="392">
        <f t="shared" si="34"/>
        <v>-14956068.4471875</v>
      </c>
      <c r="H49" s="392">
        <f>SUM(H7,H46)</f>
        <v>-20172370.687238283</v>
      </c>
      <c r="I49" s="392">
        <f>SUM(I7,I46)</f>
        <v>-21433388.944667269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  <headerFooter>
    <oddFooter>&amp;A&amp;RPage &amp;P</oddFooter>
  </headerFooter>
  <legacy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2"/>
  <dimension ref="A1:L38"/>
  <sheetViews>
    <sheetView view="pageBreakPreview" topLeftCell="A25" zoomScaleNormal="100" zoomScaleSheetLayoutView="100" workbookViewId="0">
      <selection activeCell="F47" sqref="F47"/>
    </sheetView>
  </sheetViews>
  <sheetFormatPr defaultColWidth="9.140625" defaultRowHeight="15" x14ac:dyDescent="0.25"/>
  <cols>
    <col min="1" max="1" width="42.28515625" style="352" customWidth="1"/>
    <col min="2" max="2" width="14.28515625" style="247" hidden="1" customWidth="1"/>
    <col min="3" max="7" width="14.42578125" style="247" customWidth="1"/>
    <col min="8" max="8" width="16.140625" style="247" customWidth="1"/>
    <col min="9" max="9" width="14.7109375" style="483" customWidth="1"/>
    <col min="10" max="10" width="13.28515625" style="483" hidden="1" customWidth="1"/>
    <col min="11" max="12" width="9.140625" style="483" hidden="1" customWidth="1"/>
    <col min="13" max="16384" width="9.140625" style="483"/>
  </cols>
  <sheetData>
    <row r="1" spans="1:12" ht="18.75" x14ac:dyDescent="0.3">
      <c r="A1" s="519" t="s">
        <v>498</v>
      </c>
      <c r="B1" s="361"/>
      <c r="C1" s="361"/>
      <c r="D1" s="361"/>
      <c r="E1" s="361"/>
      <c r="F1" s="361"/>
      <c r="G1" s="361"/>
      <c r="H1" s="361"/>
    </row>
    <row r="2" spans="1:12" ht="15.75" thickBot="1" x14ac:dyDescent="0.3"/>
    <row r="3" spans="1:12" ht="49.5" customHeight="1" thickBot="1" x14ac:dyDescent="0.3">
      <c r="A3" s="517" t="s">
        <v>39</v>
      </c>
      <c r="B3" s="537" t="s">
        <v>393</v>
      </c>
      <c r="C3" s="538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38" t="s">
        <v>556</v>
      </c>
      <c r="I3" s="428" t="s">
        <v>644</v>
      </c>
    </row>
    <row r="4" spans="1:12" x14ac:dyDescent="0.25">
      <c r="A4" s="560" t="s">
        <v>183</v>
      </c>
      <c r="B4" s="160">
        <v>-71037</v>
      </c>
      <c r="C4" s="158">
        <f>B4+(B4*6.25%)</f>
        <v>-75476.8125</v>
      </c>
      <c r="D4" s="158"/>
      <c r="E4" s="158">
        <f>C4-D4</f>
        <v>-75476.8125</v>
      </c>
      <c r="F4" s="630">
        <v>0</v>
      </c>
      <c r="G4" s="158">
        <f>C4+F4</f>
        <v>-75476.8125</v>
      </c>
      <c r="H4" s="158">
        <f>C4+(C4*6.25%)</f>
        <v>-80194.11328125</v>
      </c>
      <c r="I4" s="386">
        <f>H4+(H4*6.25%)</f>
        <v>-85206.245361328125</v>
      </c>
      <c r="J4" s="498">
        <f>SUM(C4,C5)</f>
        <v>-98333.3125</v>
      </c>
      <c r="K4" s="498">
        <f>SUM(H4,H5)</f>
        <v>-104479.14453125</v>
      </c>
      <c r="L4" s="498">
        <f>SUM(I4,I5)</f>
        <v>-111009.09106445313</v>
      </c>
    </row>
    <row r="5" spans="1:12" x14ac:dyDescent="0.25">
      <c r="A5" s="560" t="s">
        <v>184</v>
      </c>
      <c r="B5" s="160">
        <v>-21512</v>
      </c>
      <c r="C5" s="158">
        <f t="shared" ref="C5:I8" si="0">B5+(B5*6.25%)</f>
        <v>-22856.5</v>
      </c>
      <c r="D5" s="158"/>
      <c r="E5" s="158">
        <f t="shared" ref="E5:E8" si="1">C5-D5</f>
        <v>-22856.5</v>
      </c>
      <c r="F5" s="630">
        <v>0</v>
      </c>
      <c r="G5" s="158">
        <f t="shared" ref="G5:G8" si="2">C5+F5</f>
        <v>-22856.5</v>
      </c>
      <c r="H5" s="158">
        <f>C5+(C5*6.25%)</f>
        <v>-24285.03125</v>
      </c>
      <c r="I5" s="386">
        <f t="shared" si="0"/>
        <v>-25802.845703125</v>
      </c>
    </row>
    <row r="6" spans="1:12" x14ac:dyDescent="0.25">
      <c r="A6" s="560" t="s">
        <v>185</v>
      </c>
      <c r="B6" s="160">
        <v>-10848166</v>
      </c>
      <c r="C6" s="158">
        <f t="shared" si="0"/>
        <v>-11526176.375</v>
      </c>
      <c r="D6" s="158"/>
      <c r="E6" s="158">
        <f t="shared" si="1"/>
        <v>-11526176.375</v>
      </c>
      <c r="F6" s="630">
        <v>0</v>
      </c>
      <c r="G6" s="158">
        <f t="shared" si="2"/>
        <v>-11526176.375</v>
      </c>
      <c r="H6" s="158">
        <f>C6+(C6*6.25%)</f>
        <v>-12246562.3984375</v>
      </c>
      <c r="I6" s="386">
        <f t="shared" si="0"/>
        <v>-13011972.548339844</v>
      </c>
    </row>
    <row r="7" spans="1:12" x14ac:dyDescent="0.25">
      <c r="A7" s="560" t="s">
        <v>782</v>
      </c>
      <c r="B7" s="160"/>
      <c r="C7" s="158">
        <v>211409.875</v>
      </c>
      <c r="D7" s="158"/>
      <c r="E7" s="158">
        <f t="shared" si="1"/>
        <v>211409.875</v>
      </c>
      <c r="F7" s="630">
        <v>0</v>
      </c>
      <c r="G7" s="158">
        <f t="shared" si="2"/>
        <v>211409.875</v>
      </c>
      <c r="H7" s="158">
        <v>224622.9921875</v>
      </c>
      <c r="I7" s="386">
        <v>238661.92919921875</v>
      </c>
    </row>
    <row r="8" spans="1:12" x14ac:dyDescent="0.25">
      <c r="A8" s="560" t="s">
        <v>186</v>
      </c>
      <c r="B8" s="160">
        <v>-5775452</v>
      </c>
      <c r="C8" s="158">
        <f t="shared" si="0"/>
        <v>-6136417.75</v>
      </c>
      <c r="D8" s="158"/>
      <c r="E8" s="158">
        <f t="shared" si="1"/>
        <v>-6136417.75</v>
      </c>
      <c r="F8" s="630">
        <v>0</v>
      </c>
      <c r="G8" s="158">
        <f t="shared" si="2"/>
        <v>-6136417.75</v>
      </c>
      <c r="H8" s="158">
        <f>C8+(C8*6.25%)</f>
        <v>-6519943.859375</v>
      </c>
      <c r="I8" s="386">
        <f t="shared" si="0"/>
        <v>-6927440.3505859375</v>
      </c>
    </row>
    <row r="9" spans="1:12" x14ac:dyDescent="0.25">
      <c r="A9" s="424" t="s">
        <v>182</v>
      </c>
      <c r="B9" s="246">
        <f>SUM(B3:B8)</f>
        <v>-16716167</v>
      </c>
      <c r="C9" s="246">
        <f>SUM(C3:C8)</f>
        <v>-17549517.5625</v>
      </c>
      <c r="D9" s="246">
        <f t="shared" ref="D9:E9" si="3">SUM(D3:D8)</f>
        <v>0</v>
      </c>
      <c r="E9" s="246">
        <f t="shared" si="3"/>
        <v>-17549517.5625</v>
      </c>
      <c r="F9" s="246">
        <f t="shared" ref="F9:G9" si="4">SUM(F3:F8)</f>
        <v>0</v>
      </c>
      <c r="G9" s="246">
        <f t="shared" si="4"/>
        <v>-17549517.5625</v>
      </c>
      <c r="H9" s="246">
        <f>SUM(H3:H8)</f>
        <v>-18646362.41015625</v>
      </c>
      <c r="I9" s="387">
        <f>SUM(I3:I8)</f>
        <v>-19811760.060791016</v>
      </c>
    </row>
    <row r="10" spans="1:12" ht="18.75" x14ac:dyDescent="0.3">
      <c r="A10" s="561"/>
      <c r="B10" s="567"/>
      <c r="C10" s="562"/>
      <c r="D10" s="568"/>
      <c r="E10" s="568"/>
      <c r="F10" s="568"/>
      <c r="G10" s="568"/>
      <c r="H10" s="568"/>
      <c r="I10" s="386"/>
    </row>
    <row r="11" spans="1:12" s="563" customFormat="1" x14ac:dyDescent="0.25">
      <c r="A11" s="253" t="s">
        <v>2</v>
      </c>
      <c r="B11" s="158">
        <v>1346952</v>
      </c>
      <c r="C11" s="158">
        <f>B11+(B11*6.25%)</f>
        <v>1431136.5</v>
      </c>
      <c r="D11" s="158"/>
      <c r="E11" s="158">
        <f t="shared" ref="E11:E17" si="5">C11-D11</f>
        <v>1431136.5</v>
      </c>
      <c r="F11" s="630">
        <v>0</v>
      </c>
      <c r="G11" s="158">
        <f t="shared" ref="G11:G17" si="6">C11+F11</f>
        <v>1431136.5</v>
      </c>
      <c r="H11" s="158">
        <f t="shared" ref="H11:H17" si="7">C11+(C11*6.25%)</f>
        <v>1520582.53125</v>
      </c>
      <c r="I11" s="386">
        <f>H11+(H11*6.25%)</f>
        <v>1615618.939453125</v>
      </c>
    </row>
    <row r="12" spans="1:12" s="563" customFormat="1" x14ac:dyDescent="0.25">
      <c r="A12" s="253" t="s">
        <v>3</v>
      </c>
      <c r="B12" s="158">
        <v>201869</v>
      </c>
      <c r="C12" s="158">
        <f t="shared" ref="C12:I17" si="8">B12+(B12*6.25%)</f>
        <v>214485.8125</v>
      </c>
      <c r="D12" s="158"/>
      <c r="E12" s="158">
        <f t="shared" si="5"/>
        <v>214485.8125</v>
      </c>
      <c r="F12" s="630">
        <v>0</v>
      </c>
      <c r="G12" s="158">
        <f t="shared" si="6"/>
        <v>214485.8125</v>
      </c>
      <c r="H12" s="158">
        <f t="shared" si="7"/>
        <v>227891.17578125</v>
      </c>
      <c r="I12" s="386">
        <f t="shared" si="8"/>
        <v>242134.37426757813</v>
      </c>
    </row>
    <row r="13" spans="1:12" s="563" customFormat="1" x14ac:dyDescent="0.25">
      <c r="A13" s="253" t="s">
        <v>379</v>
      </c>
      <c r="B13" s="158">
        <v>3640</v>
      </c>
      <c r="C13" s="158">
        <f t="shared" si="8"/>
        <v>3867.5</v>
      </c>
      <c r="D13" s="158"/>
      <c r="E13" s="158">
        <f t="shared" si="5"/>
        <v>3867.5</v>
      </c>
      <c r="F13" s="630">
        <v>0</v>
      </c>
      <c r="G13" s="158">
        <f t="shared" si="6"/>
        <v>3867.5</v>
      </c>
      <c r="H13" s="158">
        <f t="shared" si="7"/>
        <v>4109.21875</v>
      </c>
      <c r="I13" s="386">
        <f t="shared" si="8"/>
        <v>4366.044921875</v>
      </c>
    </row>
    <row r="14" spans="1:12" s="563" customFormat="1" x14ac:dyDescent="0.25">
      <c r="A14" s="253" t="s">
        <v>17</v>
      </c>
      <c r="B14" s="158">
        <f>409997-400000</f>
        <v>9997</v>
      </c>
      <c r="C14" s="158">
        <f t="shared" si="8"/>
        <v>10621.8125</v>
      </c>
      <c r="D14" s="158"/>
      <c r="E14" s="158">
        <f t="shared" si="5"/>
        <v>10621.8125</v>
      </c>
      <c r="F14" s="630">
        <v>0</v>
      </c>
      <c r="G14" s="158">
        <f t="shared" si="6"/>
        <v>10621.8125</v>
      </c>
      <c r="H14" s="158">
        <f t="shared" si="7"/>
        <v>11285.67578125</v>
      </c>
      <c r="I14" s="386">
        <f t="shared" si="8"/>
        <v>11991.030517578125</v>
      </c>
    </row>
    <row r="15" spans="1:12" s="563" customFormat="1" x14ac:dyDescent="0.25">
      <c r="A15" s="253" t="s">
        <v>4</v>
      </c>
      <c r="B15" s="158">
        <v>15090</v>
      </c>
      <c r="C15" s="158">
        <f t="shared" si="8"/>
        <v>16033.125</v>
      </c>
      <c r="D15" s="158"/>
      <c r="E15" s="158">
        <f t="shared" si="5"/>
        <v>16033.125</v>
      </c>
      <c r="F15" s="630">
        <v>0</v>
      </c>
      <c r="G15" s="158">
        <f t="shared" si="6"/>
        <v>16033.125</v>
      </c>
      <c r="H15" s="158">
        <f t="shared" si="7"/>
        <v>17035.1953125</v>
      </c>
      <c r="I15" s="386">
        <f t="shared" si="8"/>
        <v>18099.89501953125</v>
      </c>
    </row>
    <row r="16" spans="1:12" s="563" customFormat="1" x14ac:dyDescent="0.25">
      <c r="A16" s="253" t="s">
        <v>382</v>
      </c>
      <c r="B16" s="158">
        <v>36247</v>
      </c>
      <c r="C16" s="158">
        <f t="shared" si="8"/>
        <v>38512.4375</v>
      </c>
      <c r="D16" s="158"/>
      <c r="E16" s="158">
        <f t="shared" si="5"/>
        <v>38512.4375</v>
      </c>
      <c r="F16" s="630">
        <v>0</v>
      </c>
      <c r="G16" s="158">
        <f t="shared" si="6"/>
        <v>38512.4375</v>
      </c>
      <c r="H16" s="158">
        <f t="shared" si="7"/>
        <v>40919.46484375</v>
      </c>
      <c r="I16" s="386">
        <f t="shared" si="8"/>
        <v>43476.931396484375</v>
      </c>
    </row>
    <row r="17" spans="1:9" s="563" customFormat="1" x14ac:dyDescent="0.25">
      <c r="A17" s="253" t="s">
        <v>254</v>
      </c>
      <c r="B17" s="158">
        <v>76326</v>
      </c>
      <c r="C17" s="158">
        <f t="shared" si="8"/>
        <v>81096.375</v>
      </c>
      <c r="D17" s="158"/>
      <c r="E17" s="158">
        <f t="shared" si="5"/>
        <v>81096.375</v>
      </c>
      <c r="F17" s="630">
        <v>0</v>
      </c>
      <c r="G17" s="158">
        <f t="shared" si="6"/>
        <v>81096.375</v>
      </c>
      <c r="H17" s="158">
        <f t="shared" si="7"/>
        <v>86164.8984375</v>
      </c>
      <c r="I17" s="386">
        <f t="shared" si="8"/>
        <v>91550.20458984375</v>
      </c>
    </row>
    <row r="18" spans="1:9" s="563" customFormat="1" x14ac:dyDescent="0.25">
      <c r="A18" s="424" t="s">
        <v>40</v>
      </c>
      <c r="B18" s="246">
        <f>SUM(B11:B17)</f>
        <v>1690121</v>
      </c>
      <c r="C18" s="246">
        <f>SUM(C11:C17)</f>
        <v>1795753.5625</v>
      </c>
      <c r="D18" s="246">
        <f t="shared" ref="D18:E18" si="9">SUM(D11:D17)</f>
        <v>0</v>
      </c>
      <c r="E18" s="246">
        <f t="shared" si="9"/>
        <v>1795753.5625</v>
      </c>
      <c r="F18" s="246">
        <f t="shared" ref="F18:G18" si="10">SUM(F11:F17)</f>
        <v>0</v>
      </c>
      <c r="G18" s="246">
        <f t="shared" si="10"/>
        <v>1795753.5625</v>
      </c>
      <c r="H18" s="246">
        <f>SUM(H11:H17)</f>
        <v>1907988.16015625</v>
      </c>
      <c r="I18" s="387">
        <f>SUM(I11:I17)</f>
        <v>2027237.4201660156</v>
      </c>
    </row>
    <row r="19" spans="1:9" s="563" customFormat="1" x14ac:dyDescent="0.25">
      <c r="A19" s="253"/>
      <c r="B19" s="158"/>
      <c r="C19" s="158"/>
      <c r="D19" s="239"/>
      <c r="E19" s="239"/>
      <c r="F19" s="239"/>
      <c r="G19" s="239"/>
      <c r="H19" s="239"/>
      <c r="I19" s="386"/>
    </row>
    <row r="20" spans="1:9" s="563" customFormat="1" x14ac:dyDescent="0.25">
      <c r="A20" s="253" t="s">
        <v>6</v>
      </c>
      <c r="B20" s="158">
        <v>219393</v>
      </c>
      <c r="C20" s="158">
        <f>B20+(B20*6.25%)</f>
        <v>233105.0625</v>
      </c>
      <c r="D20" s="158"/>
      <c r="E20" s="158">
        <f t="shared" ref="E20:E24" si="11">C20-D20</f>
        <v>233105.0625</v>
      </c>
      <c r="F20" s="630">
        <v>0</v>
      </c>
      <c r="G20" s="158">
        <f t="shared" ref="G20:G24" si="12">C20+F20</f>
        <v>233105.0625</v>
      </c>
      <c r="H20" s="158">
        <f>C20+(C20*6.25%)</f>
        <v>247674.12890625</v>
      </c>
      <c r="I20" s="386">
        <f>H20+(H20*6.25%)</f>
        <v>263153.76196289063</v>
      </c>
    </row>
    <row r="21" spans="1:9" s="563" customFormat="1" x14ac:dyDescent="0.25">
      <c r="A21" s="253" t="s">
        <v>7</v>
      </c>
      <c r="B21" s="158">
        <v>31510</v>
      </c>
      <c r="C21" s="158">
        <f t="shared" ref="C21:I24" si="13">B21+(B21*6.25%)</f>
        <v>33479.375</v>
      </c>
      <c r="D21" s="158"/>
      <c r="E21" s="158">
        <f t="shared" si="11"/>
        <v>33479.375</v>
      </c>
      <c r="F21" s="630">
        <v>0</v>
      </c>
      <c r="G21" s="158">
        <f t="shared" si="12"/>
        <v>33479.375</v>
      </c>
      <c r="H21" s="158">
        <f>C21+(C21*6.25%)</f>
        <v>35571.8359375</v>
      </c>
      <c r="I21" s="386">
        <f t="shared" si="13"/>
        <v>37795.07568359375</v>
      </c>
    </row>
    <row r="22" spans="1:9" s="563" customFormat="1" x14ac:dyDescent="0.25">
      <c r="A22" s="253" t="s">
        <v>53</v>
      </c>
      <c r="B22" s="158">
        <f>512263-400000</f>
        <v>112263</v>
      </c>
      <c r="C22" s="158">
        <f t="shared" si="13"/>
        <v>119279.4375</v>
      </c>
      <c r="D22" s="158"/>
      <c r="E22" s="158">
        <f t="shared" si="11"/>
        <v>119279.4375</v>
      </c>
      <c r="F22" s="630">
        <v>0</v>
      </c>
      <c r="G22" s="158">
        <f t="shared" si="12"/>
        <v>119279.4375</v>
      </c>
      <c r="H22" s="158">
        <f>C22+(C22*6.25%)</f>
        <v>126734.40234375</v>
      </c>
      <c r="I22" s="386">
        <f t="shared" si="13"/>
        <v>134655.30249023438</v>
      </c>
    </row>
    <row r="23" spans="1:9" s="563" customFormat="1" x14ac:dyDescent="0.25">
      <c r="A23" s="253" t="s">
        <v>175</v>
      </c>
      <c r="B23" s="158">
        <v>5760</v>
      </c>
      <c r="C23" s="158">
        <f t="shared" si="13"/>
        <v>6120</v>
      </c>
      <c r="D23" s="158"/>
      <c r="E23" s="158">
        <f t="shared" si="11"/>
        <v>6120</v>
      </c>
      <c r="F23" s="630">
        <v>0</v>
      </c>
      <c r="G23" s="158">
        <f t="shared" si="12"/>
        <v>6120</v>
      </c>
      <c r="H23" s="158">
        <f>C23+(C23*6.25%)</f>
        <v>6502.5</v>
      </c>
      <c r="I23" s="386">
        <f t="shared" si="13"/>
        <v>6908.90625</v>
      </c>
    </row>
    <row r="24" spans="1:9" s="563" customFormat="1" x14ac:dyDescent="0.25">
      <c r="A24" s="253" t="s">
        <v>380</v>
      </c>
      <c r="B24" s="158">
        <v>1782</v>
      </c>
      <c r="C24" s="158">
        <f t="shared" si="13"/>
        <v>1893.375</v>
      </c>
      <c r="D24" s="158"/>
      <c r="E24" s="158">
        <f t="shared" si="11"/>
        <v>1893.375</v>
      </c>
      <c r="F24" s="630">
        <v>0</v>
      </c>
      <c r="G24" s="158">
        <f t="shared" si="12"/>
        <v>1893.375</v>
      </c>
      <c r="H24" s="158">
        <f>C24+(C24*6.25%)</f>
        <v>2011.7109375</v>
      </c>
      <c r="I24" s="386">
        <f t="shared" si="13"/>
        <v>2137.44287109375</v>
      </c>
    </row>
    <row r="25" spans="1:9" s="563" customFormat="1" x14ac:dyDescent="0.25">
      <c r="A25" s="424" t="s">
        <v>41</v>
      </c>
      <c r="B25" s="246">
        <f>SUM(B20:B24)</f>
        <v>370708</v>
      </c>
      <c r="C25" s="246">
        <f>SUM(C20:C24)</f>
        <v>393877.25</v>
      </c>
      <c r="D25" s="246">
        <f t="shared" ref="D25:E25" si="14">SUM(D20:D24)</f>
        <v>0</v>
      </c>
      <c r="E25" s="246">
        <f t="shared" si="14"/>
        <v>393877.25</v>
      </c>
      <c r="F25" s="246">
        <f t="shared" ref="F25:G25" si="15">SUM(F20:F24)</f>
        <v>0</v>
      </c>
      <c r="G25" s="246">
        <f t="shared" si="15"/>
        <v>393877.25</v>
      </c>
      <c r="H25" s="246">
        <f>SUM(H20:H24)</f>
        <v>418494.578125</v>
      </c>
      <c r="I25" s="246">
        <f>SUM(I20:I24)</f>
        <v>444650.4892578125</v>
      </c>
    </row>
    <row r="26" spans="1:9" s="563" customFormat="1" x14ac:dyDescent="0.25">
      <c r="A26" s="477"/>
      <c r="B26" s="246"/>
      <c r="C26" s="246"/>
      <c r="D26" s="246"/>
      <c r="E26" s="246"/>
      <c r="F26" s="246"/>
      <c r="G26" s="246"/>
      <c r="H26" s="246">
        <f>SUM(H18,H25)</f>
        <v>2326482.73828125</v>
      </c>
      <c r="I26" s="246">
        <f>SUM(I18,I25)</f>
        <v>2471887.9094238281</v>
      </c>
    </row>
    <row r="27" spans="1:9" s="563" customFormat="1" x14ac:dyDescent="0.25">
      <c r="A27" s="477"/>
      <c r="B27" s="246">
        <v>0</v>
      </c>
      <c r="C27" s="246"/>
      <c r="D27" s="351"/>
      <c r="E27" s="351"/>
      <c r="F27" s="351"/>
      <c r="G27" s="351"/>
      <c r="H27" s="351"/>
      <c r="I27" s="386"/>
    </row>
    <row r="28" spans="1:9" s="563" customFormat="1" x14ac:dyDescent="0.25">
      <c r="A28" s="271" t="s">
        <v>274</v>
      </c>
      <c r="B28" s="158">
        <f>885542-500000</f>
        <v>385542</v>
      </c>
      <c r="C28" s="158">
        <f>B28+(B28*6.25%)</f>
        <v>409638.375</v>
      </c>
      <c r="D28" s="158"/>
      <c r="E28" s="158">
        <f t="shared" ref="E28" si="16">C28-D28</f>
        <v>409638.375</v>
      </c>
      <c r="F28" s="630">
        <v>0</v>
      </c>
      <c r="G28" s="158">
        <f t="shared" ref="G28" si="17">C28+F28</f>
        <v>409638.375</v>
      </c>
      <c r="H28" s="158">
        <f>C28+(C28*6.25%)</f>
        <v>435240.7734375</v>
      </c>
      <c r="I28" s="386">
        <f>H28+(H28*6.25%)</f>
        <v>462443.32177734375</v>
      </c>
    </row>
    <row r="29" spans="1:9" s="563" customFormat="1" x14ac:dyDescent="0.25">
      <c r="A29" s="564" t="s">
        <v>43</v>
      </c>
      <c r="B29" s="246">
        <f>B28</f>
        <v>385542</v>
      </c>
      <c r="C29" s="246">
        <f>C28</f>
        <v>409638.375</v>
      </c>
      <c r="D29" s="246">
        <f t="shared" ref="D29:E29" si="18">D28</f>
        <v>0</v>
      </c>
      <c r="E29" s="246">
        <f t="shared" si="18"/>
        <v>409638.375</v>
      </c>
      <c r="F29" s="246">
        <f t="shared" ref="F29:G29" si="19">F28</f>
        <v>0</v>
      </c>
      <c r="G29" s="246">
        <f t="shared" si="19"/>
        <v>409638.375</v>
      </c>
      <c r="H29" s="246">
        <f>H28</f>
        <v>435240.7734375</v>
      </c>
      <c r="I29" s="387">
        <f>I28</f>
        <v>462443.32177734375</v>
      </c>
    </row>
    <row r="30" spans="1:9" s="563" customFormat="1" x14ac:dyDescent="0.25">
      <c r="A30" s="564"/>
      <c r="B30" s="246"/>
      <c r="C30" s="246"/>
      <c r="D30" s="351"/>
      <c r="E30" s="351"/>
      <c r="F30" s="351"/>
      <c r="G30" s="351"/>
      <c r="H30" s="351"/>
      <c r="I30" s="387"/>
    </row>
    <row r="31" spans="1:9" s="563" customFormat="1" x14ac:dyDescent="0.25">
      <c r="A31" s="253" t="s">
        <v>499</v>
      </c>
      <c r="B31" s="158">
        <v>13997</v>
      </c>
      <c r="C31" s="158">
        <v>30960.1875</v>
      </c>
      <c r="D31" s="158"/>
      <c r="E31" s="158">
        <f t="shared" ref="E31:E33" si="20">C31-D31</f>
        <v>30960.1875</v>
      </c>
      <c r="F31" s="630">
        <v>0</v>
      </c>
      <c r="G31" s="158">
        <f t="shared" ref="G31:G33" si="21">C31+F31</f>
        <v>30960.1875</v>
      </c>
      <c r="H31" s="158">
        <v>32895.19921875</v>
      </c>
      <c r="I31" s="386">
        <v>34951.149169921875</v>
      </c>
    </row>
    <row r="32" spans="1:9" s="563" customFormat="1" x14ac:dyDescent="0.25">
      <c r="A32" s="253" t="s">
        <v>190</v>
      </c>
      <c r="B32" s="158">
        <v>6864</v>
      </c>
      <c r="C32" s="158">
        <f t="shared" ref="C32:I33" si="22">B32+(B32*6.25%)</f>
        <v>7293</v>
      </c>
      <c r="D32" s="158"/>
      <c r="E32" s="158">
        <f t="shared" si="20"/>
        <v>7293</v>
      </c>
      <c r="F32" s="630">
        <v>0</v>
      </c>
      <c r="G32" s="158">
        <f t="shared" si="21"/>
        <v>7293</v>
      </c>
      <c r="H32" s="158">
        <f>C32+(C32*6.25%)</f>
        <v>7748.8125</v>
      </c>
      <c r="I32" s="386">
        <f t="shared" si="22"/>
        <v>8233.11328125</v>
      </c>
    </row>
    <row r="33" spans="1:9" s="563" customFormat="1" x14ac:dyDescent="0.25">
      <c r="A33" s="253" t="s">
        <v>24</v>
      </c>
      <c r="B33" s="158">
        <v>280000</v>
      </c>
      <c r="C33" s="158">
        <f t="shared" si="22"/>
        <v>297500</v>
      </c>
      <c r="D33" s="158"/>
      <c r="E33" s="158">
        <f t="shared" si="20"/>
        <v>297500</v>
      </c>
      <c r="F33" s="630">
        <v>0</v>
      </c>
      <c r="G33" s="158">
        <f t="shared" si="21"/>
        <v>297500</v>
      </c>
      <c r="H33" s="158">
        <f>C33+(C33*6.25%)</f>
        <v>316093.75</v>
      </c>
      <c r="I33" s="386">
        <f t="shared" si="22"/>
        <v>335849.609375</v>
      </c>
    </row>
    <row r="34" spans="1:9" s="563" customFormat="1" x14ac:dyDescent="0.25">
      <c r="A34" s="424" t="s">
        <v>42</v>
      </c>
      <c r="B34" s="246">
        <f>SUM(B32:B33)</f>
        <v>286864</v>
      </c>
      <c r="C34" s="246">
        <f>SUM(C31:C33)</f>
        <v>335753.1875</v>
      </c>
      <c r="D34" s="246">
        <f t="shared" ref="D34:E34" si="23">SUM(D31:D33)</f>
        <v>0</v>
      </c>
      <c r="E34" s="246">
        <f t="shared" si="23"/>
        <v>335753.1875</v>
      </c>
      <c r="F34" s="246">
        <f t="shared" ref="F34:G34" si="24">SUM(F31:F33)</f>
        <v>0</v>
      </c>
      <c r="G34" s="246">
        <f t="shared" si="24"/>
        <v>335753.1875</v>
      </c>
      <c r="H34" s="246">
        <f>SUM(H31:H33)</f>
        <v>356737.76171875</v>
      </c>
      <c r="I34" s="246">
        <f>SUM(I31:I33)</f>
        <v>379033.87182617188</v>
      </c>
    </row>
    <row r="35" spans="1:9" s="563" customFormat="1" x14ac:dyDescent="0.25">
      <c r="A35" s="425"/>
      <c r="B35" s="158"/>
      <c r="C35" s="158"/>
      <c r="D35" s="239"/>
      <c r="E35" s="239"/>
      <c r="F35" s="239"/>
      <c r="G35" s="239"/>
      <c r="H35" s="239"/>
      <c r="I35" s="386"/>
    </row>
    <row r="36" spans="1:9" s="563" customFormat="1" x14ac:dyDescent="0.25">
      <c r="A36" s="424" t="s">
        <v>46</v>
      </c>
      <c r="B36" s="246">
        <f>B34+B29+B25+B18</f>
        <v>2733235</v>
      </c>
      <c r="C36" s="246">
        <f>C18+C25+C29+C34</f>
        <v>2935022.375</v>
      </c>
      <c r="D36" s="246">
        <f t="shared" ref="D36:E36" si="25">D18+D25+D29+D34</f>
        <v>0</v>
      </c>
      <c r="E36" s="246">
        <f t="shared" si="25"/>
        <v>2935022.375</v>
      </c>
      <c r="F36" s="246">
        <f t="shared" ref="F36:G36" si="26">F18+F25+F29+F34</f>
        <v>0</v>
      </c>
      <c r="G36" s="246">
        <f t="shared" si="26"/>
        <v>2935022.375</v>
      </c>
      <c r="H36" s="246">
        <f>SUM(H34,H29,H26)</f>
        <v>3118461.2734375</v>
      </c>
      <c r="I36" s="246">
        <f>SUM(I34,I29,I26)</f>
        <v>3313365.1030273438</v>
      </c>
    </row>
    <row r="37" spans="1:9" x14ac:dyDescent="0.25">
      <c r="A37" s="565"/>
      <c r="B37" s="243"/>
      <c r="C37" s="243"/>
      <c r="D37" s="243"/>
      <c r="E37" s="243"/>
      <c r="F37" s="243"/>
      <c r="G37" s="243"/>
      <c r="H37" s="243"/>
      <c r="I37" s="386"/>
    </row>
    <row r="38" spans="1:9" ht="15.75" thickBot="1" x14ac:dyDescent="0.3">
      <c r="A38" s="566" t="s">
        <v>282</v>
      </c>
      <c r="B38" s="392">
        <f>B9+B36</f>
        <v>-13982932</v>
      </c>
      <c r="C38" s="392">
        <f>SUM(C9,C36)</f>
        <v>-14614495.1875</v>
      </c>
      <c r="D38" s="392">
        <f t="shared" ref="D38:E38" si="27">SUM(D9,D36)</f>
        <v>0</v>
      </c>
      <c r="E38" s="392">
        <f t="shared" si="27"/>
        <v>-14614495.1875</v>
      </c>
      <c r="F38" s="392">
        <f t="shared" ref="F38:G38" si="28">SUM(F9,F36)</f>
        <v>0</v>
      </c>
      <c r="G38" s="392">
        <f t="shared" si="28"/>
        <v>-14614495.1875</v>
      </c>
      <c r="H38" s="392">
        <f>SUM(H9,H36)</f>
        <v>-15527901.13671875</v>
      </c>
      <c r="I38" s="392">
        <f>SUM(I9,I36)</f>
        <v>-16498394.957763672</v>
      </c>
    </row>
  </sheetData>
  <pageMargins left="0.7" right="0.7" top="0.75" bottom="0.75" header="0.3" footer="0.3"/>
  <pageSetup paperSize="9" scale="82" orientation="landscape" r:id="rId1"/>
  <headerFooter>
    <oddFooter>&amp;A&amp;RPage &amp;P</oddFooter>
  </headerFooter>
  <legacy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I35"/>
  <sheetViews>
    <sheetView view="pageBreakPreview" topLeftCell="A18" zoomScaleNormal="96" zoomScaleSheetLayoutView="100" workbookViewId="0">
      <selection activeCell="F40" sqref="F40"/>
    </sheetView>
  </sheetViews>
  <sheetFormatPr defaultColWidth="9.140625" defaultRowHeight="15" x14ac:dyDescent="0.25"/>
  <cols>
    <col min="1" max="1" width="37.7109375" style="352" customWidth="1"/>
    <col min="2" max="2" width="15.28515625" style="247" hidden="1" customWidth="1"/>
    <col min="3" max="7" width="16.42578125" style="247" customWidth="1"/>
    <col min="8" max="8" width="16.28515625" style="247" customWidth="1"/>
    <col min="9" max="9" width="15.28515625" style="483" customWidth="1"/>
    <col min="10" max="16384" width="9.140625" style="483"/>
  </cols>
  <sheetData>
    <row r="1" spans="1:9" ht="18.75" x14ac:dyDescent="0.3">
      <c r="A1" s="519" t="s">
        <v>500</v>
      </c>
      <c r="B1" s="361"/>
      <c r="C1" s="361"/>
      <c r="D1" s="361"/>
      <c r="E1" s="361"/>
      <c r="F1" s="361"/>
      <c r="G1" s="361"/>
      <c r="H1" s="361"/>
    </row>
    <row r="2" spans="1:9" ht="15.75" thickBot="1" x14ac:dyDescent="0.3"/>
    <row r="3" spans="1:9" ht="41.25" customHeight="1" thickBot="1" x14ac:dyDescent="0.3">
      <c r="A3" s="517" t="s">
        <v>39</v>
      </c>
      <c r="B3" s="537" t="s">
        <v>393</v>
      </c>
      <c r="C3" s="538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38" t="s">
        <v>556</v>
      </c>
      <c r="I3" s="428" t="s">
        <v>644</v>
      </c>
    </row>
    <row r="4" spans="1:9" x14ac:dyDescent="0.25">
      <c r="A4" s="560" t="s">
        <v>187</v>
      </c>
      <c r="B4" s="160">
        <v>-2622294</v>
      </c>
      <c r="C4" s="158">
        <f>B4+(B4*6.25%)</f>
        <v>-2786187.375</v>
      </c>
      <c r="D4" s="158"/>
      <c r="E4" s="158">
        <f>C4-D4</f>
        <v>-2786187.375</v>
      </c>
      <c r="F4" s="630">
        <v>0</v>
      </c>
      <c r="G4" s="158">
        <f>C4+F4</f>
        <v>-2786187.375</v>
      </c>
      <c r="H4" s="158">
        <f>C4+(C4*6.25%)</f>
        <v>-2960324.0859375</v>
      </c>
      <c r="I4" s="386">
        <f>H4+(H4*6.25%)</f>
        <v>-3145344.3413085938</v>
      </c>
    </row>
    <row r="5" spans="1:9" x14ac:dyDescent="0.25">
      <c r="A5" s="560" t="s">
        <v>225</v>
      </c>
      <c r="B5" s="160">
        <v>-56104</v>
      </c>
      <c r="C5" s="158">
        <f t="shared" ref="C5:I7" si="0">B5+(B5*6.25%)</f>
        <v>-59610.5</v>
      </c>
      <c r="D5" s="158"/>
      <c r="E5" s="158">
        <f t="shared" ref="E5:E7" si="1">C5-D5</f>
        <v>-59610.5</v>
      </c>
      <c r="F5" s="630">
        <v>0</v>
      </c>
      <c r="G5" s="158">
        <f t="shared" ref="G5:G7" si="2">C5+F5</f>
        <v>-59610.5</v>
      </c>
      <c r="H5" s="158">
        <f>C5+(C5*6.25%)</f>
        <v>-63336.15625</v>
      </c>
      <c r="I5" s="386">
        <f t="shared" si="0"/>
        <v>-67294.666015625</v>
      </c>
    </row>
    <row r="6" spans="1:9" x14ac:dyDescent="0.25">
      <c r="A6" s="560" t="s">
        <v>188</v>
      </c>
      <c r="B6" s="160">
        <v>-22700</v>
      </c>
      <c r="C6" s="158">
        <f t="shared" si="0"/>
        <v>-24118.75</v>
      </c>
      <c r="D6" s="158"/>
      <c r="E6" s="158">
        <f t="shared" si="1"/>
        <v>-24118.75</v>
      </c>
      <c r="F6" s="630">
        <v>0</v>
      </c>
      <c r="G6" s="158">
        <f t="shared" si="2"/>
        <v>-24118.75</v>
      </c>
      <c r="H6" s="158">
        <f>C6+(C6*6.25%)</f>
        <v>-25626.171875</v>
      </c>
      <c r="I6" s="386">
        <f t="shared" si="0"/>
        <v>-27227.8076171875</v>
      </c>
    </row>
    <row r="7" spans="1:9" x14ac:dyDescent="0.25">
      <c r="A7" s="560" t="s">
        <v>255</v>
      </c>
      <c r="B7" s="160">
        <v>-275183</v>
      </c>
      <c r="C7" s="158">
        <f t="shared" si="0"/>
        <v>-292381.9375</v>
      </c>
      <c r="D7" s="158"/>
      <c r="E7" s="158">
        <f t="shared" si="1"/>
        <v>-292381.9375</v>
      </c>
      <c r="F7" s="630">
        <v>0</v>
      </c>
      <c r="G7" s="158">
        <f t="shared" si="2"/>
        <v>-292381.9375</v>
      </c>
      <c r="H7" s="158">
        <f>C7+(C7*6.25%)</f>
        <v>-310655.80859375</v>
      </c>
      <c r="I7" s="386">
        <f t="shared" si="0"/>
        <v>-330071.79663085938</v>
      </c>
    </row>
    <row r="8" spans="1:9" x14ac:dyDescent="0.25">
      <c r="A8" s="424" t="s">
        <v>182</v>
      </c>
      <c r="B8" s="246">
        <f>SUM(B4:B7)</f>
        <v>-2976281</v>
      </c>
      <c r="C8" s="246">
        <f>SUM(C4:C7)</f>
        <v>-3162298.5625</v>
      </c>
      <c r="D8" s="246">
        <f t="shared" ref="D8:E8" si="3">SUM(D4:D7)</f>
        <v>0</v>
      </c>
      <c r="E8" s="246">
        <f t="shared" si="3"/>
        <v>-3162298.5625</v>
      </c>
      <c r="F8" s="246">
        <f t="shared" ref="F8:G8" si="4">SUM(F4:F7)</f>
        <v>0</v>
      </c>
      <c r="G8" s="246">
        <f t="shared" si="4"/>
        <v>-3162298.5625</v>
      </c>
      <c r="H8" s="246">
        <f>SUM(H4:H7)</f>
        <v>-3359942.22265625</v>
      </c>
      <c r="I8" s="387">
        <f>SUM(I4:I7)</f>
        <v>-3569938.6115722656</v>
      </c>
    </row>
    <row r="9" spans="1:9" ht="18.75" x14ac:dyDescent="0.3">
      <c r="A9" s="561"/>
      <c r="B9" s="567"/>
      <c r="C9" s="562"/>
      <c r="D9" s="568"/>
      <c r="E9" s="568"/>
      <c r="F9" s="568"/>
      <c r="G9" s="568"/>
      <c r="H9" s="568"/>
      <c r="I9" s="386"/>
    </row>
    <row r="10" spans="1:9" s="563" customFormat="1" x14ac:dyDescent="0.25">
      <c r="A10" s="253" t="s">
        <v>2</v>
      </c>
      <c r="B10" s="158">
        <v>1084710</v>
      </c>
      <c r="C10" s="158">
        <f>B10+(B10*6.25%)</f>
        <v>1152504.375</v>
      </c>
      <c r="D10" s="158"/>
      <c r="E10" s="158">
        <f t="shared" ref="E10:E16" si="5">C10-D10</f>
        <v>1152504.375</v>
      </c>
      <c r="F10" s="630">
        <v>0</v>
      </c>
      <c r="G10" s="158">
        <f t="shared" ref="G10:G16" si="6">C10+F10</f>
        <v>1152504.375</v>
      </c>
      <c r="H10" s="239">
        <f>C10+(C10*6.9%)</f>
        <v>1232027.1768749999</v>
      </c>
      <c r="I10" s="386">
        <f t="shared" ref="I10:I16" si="7">H10+(H10*5.4%)</f>
        <v>1298556.6444262499</v>
      </c>
    </row>
    <row r="11" spans="1:9" s="563" customFormat="1" x14ac:dyDescent="0.25">
      <c r="A11" s="253" t="s">
        <v>3</v>
      </c>
      <c r="B11" s="158">
        <v>107973</v>
      </c>
      <c r="C11" s="158">
        <f t="shared" ref="C11:C16" si="8">B11+(B11*6.25%)</f>
        <v>114721.3125</v>
      </c>
      <c r="D11" s="158"/>
      <c r="E11" s="158">
        <f t="shared" si="5"/>
        <v>114721.3125</v>
      </c>
      <c r="F11" s="630">
        <v>0</v>
      </c>
      <c r="G11" s="158">
        <f t="shared" si="6"/>
        <v>114721.3125</v>
      </c>
      <c r="H11" s="239">
        <f t="shared" ref="H11:H16" si="9">C11+(C11*6.9%)</f>
        <v>122637.08306249999</v>
      </c>
      <c r="I11" s="386">
        <f t="shared" si="7"/>
        <v>129259.485547875</v>
      </c>
    </row>
    <row r="12" spans="1:9" s="563" customFormat="1" x14ac:dyDescent="0.25">
      <c r="A12" s="253" t="s">
        <v>379</v>
      </c>
      <c r="B12" s="158">
        <v>27744</v>
      </c>
      <c r="C12" s="158">
        <f t="shared" si="8"/>
        <v>29478</v>
      </c>
      <c r="D12" s="158"/>
      <c r="E12" s="158">
        <f t="shared" si="5"/>
        <v>29478</v>
      </c>
      <c r="F12" s="630">
        <v>0</v>
      </c>
      <c r="G12" s="158">
        <f t="shared" si="6"/>
        <v>29478</v>
      </c>
      <c r="H12" s="239">
        <f t="shared" si="9"/>
        <v>31511.982</v>
      </c>
      <c r="I12" s="386">
        <f t="shared" si="7"/>
        <v>33213.629028000003</v>
      </c>
    </row>
    <row r="13" spans="1:9" s="563" customFormat="1" x14ac:dyDescent="0.25">
      <c r="A13" s="253" t="s">
        <v>381</v>
      </c>
      <c r="B13" s="158">
        <v>2800</v>
      </c>
      <c r="C13" s="158">
        <f t="shared" si="8"/>
        <v>2975</v>
      </c>
      <c r="D13" s="158"/>
      <c r="E13" s="158">
        <f t="shared" si="5"/>
        <v>2975</v>
      </c>
      <c r="F13" s="630">
        <v>0</v>
      </c>
      <c r="G13" s="158">
        <f t="shared" si="6"/>
        <v>2975</v>
      </c>
      <c r="H13" s="239">
        <f t="shared" si="9"/>
        <v>3180.2750000000001</v>
      </c>
      <c r="I13" s="386">
        <f t="shared" si="7"/>
        <v>3352.0098499999999</v>
      </c>
    </row>
    <row r="14" spans="1:9" s="563" customFormat="1" x14ac:dyDescent="0.25">
      <c r="A14" s="253" t="s">
        <v>382</v>
      </c>
      <c r="B14" s="158">
        <v>25266</v>
      </c>
      <c r="C14" s="158">
        <f t="shared" si="8"/>
        <v>26845.125</v>
      </c>
      <c r="D14" s="158"/>
      <c r="E14" s="158">
        <f t="shared" si="5"/>
        <v>26845.125</v>
      </c>
      <c r="F14" s="630">
        <v>0</v>
      </c>
      <c r="G14" s="158">
        <f t="shared" si="6"/>
        <v>26845.125</v>
      </c>
      <c r="H14" s="239">
        <f t="shared" si="9"/>
        <v>28697.438624999999</v>
      </c>
      <c r="I14" s="386">
        <f t="shared" si="7"/>
        <v>30247.10031075</v>
      </c>
    </row>
    <row r="15" spans="1:9" s="563" customFormat="1" x14ac:dyDescent="0.25">
      <c r="A15" s="253" t="s">
        <v>275</v>
      </c>
      <c r="B15" s="158">
        <v>135519</v>
      </c>
      <c r="C15" s="158">
        <f t="shared" si="8"/>
        <v>143988.9375</v>
      </c>
      <c r="D15" s="158"/>
      <c r="E15" s="158">
        <f t="shared" si="5"/>
        <v>143988.9375</v>
      </c>
      <c r="F15" s="630">
        <v>0</v>
      </c>
      <c r="G15" s="158">
        <f t="shared" si="6"/>
        <v>143988.9375</v>
      </c>
      <c r="H15" s="239">
        <f t="shared" si="9"/>
        <v>153924.1741875</v>
      </c>
      <c r="I15" s="386">
        <f t="shared" si="7"/>
        <v>162236.07959362501</v>
      </c>
    </row>
    <row r="16" spans="1:9" s="563" customFormat="1" x14ac:dyDescent="0.25">
      <c r="A16" s="253" t="s">
        <v>17</v>
      </c>
      <c r="B16" s="158">
        <v>175909</v>
      </c>
      <c r="C16" s="158">
        <f t="shared" si="8"/>
        <v>186903.3125</v>
      </c>
      <c r="D16" s="158"/>
      <c r="E16" s="158">
        <f t="shared" si="5"/>
        <v>186903.3125</v>
      </c>
      <c r="F16" s="630">
        <v>0</v>
      </c>
      <c r="G16" s="158">
        <f t="shared" si="6"/>
        <v>186903.3125</v>
      </c>
      <c r="H16" s="239">
        <f t="shared" si="9"/>
        <v>199799.64106250001</v>
      </c>
      <c r="I16" s="386">
        <f t="shared" si="7"/>
        <v>210588.82167987502</v>
      </c>
    </row>
    <row r="17" spans="1:9" s="563" customFormat="1" x14ac:dyDescent="0.25">
      <c r="A17" s="424" t="s">
        <v>40</v>
      </c>
      <c r="B17" s="246">
        <f>SUM(B10:B16)</f>
        <v>1559921</v>
      </c>
      <c r="C17" s="246">
        <f>SUM(C10:C16)</f>
        <v>1657416.0625</v>
      </c>
      <c r="D17" s="246">
        <f t="shared" ref="D17:E17" si="10">SUM(D10:D16)</f>
        <v>0</v>
      </c>
      <c r="E17" s="246">
        <f t="shared" si="10"/>
        <v>1657416.0625</v>
      </c>
      <c r="F17" s="246">
        <f t="shared" ref="F17:G17" si="11">SUM(F10:F16)</f>
        <v>0</v>
      </c>
      <c r="G17" s="246">
        <f t="shared" si="11"/>
        <v>1657416.0625</v>
      </c>
      <c r="H17" s="246">
        <f>SUM(H10:H16)</f>
        <v>1771777.7708124998</v>
      </c>
      <c r="I17" s="387">
        <f>SUM(I10:I16)</f>
        <v>1867453.7704363749</v>
      </c>
    </row>
    <row r="18" spans="1:9" s="563" customFormat="1" x14ac:dyDescent="0.25">
      <c r="A18" s="253"/>
      <c r="B18" s="158"/>
      <c r="C18" s="158"/>
      <c r="D18" s="239"/>
      <c r="E18" s="239"/>
      <c r="F18" s="239"/>
      <c r="G18" s="239"/>
      <c r="H18" s="239"/>
      <c r="I18" s="386"/>
    </row>
    <row r="19" spans="1:9" s="563" customFormat="1" x14ac:dyDescent="0.25">
      <c r="A19" s="253" t="s">
        <v>6</v>
      </c>
      <c r="B19" s="158">
        <v>12468</v>
      </c>
      <c r="C19" s="158">
        <f>B19+(B19*6.25%)</f>
        <v>13247.25</v>
      </c>
      <c r="D19" s="158"/>
      <c r="E19" s="158">
        <f t="shared" ref="E19:E24" si="12">C19-D19</f>
        <v>13247.25</v>
      </c>
      <c r="F19" s="630">
        <v>0</v>
      </c>
      <c r="G19" s="158">
        <f t="shared" ref="G19:G24" si="13">C19+F19</f>
        <v>13247.25</v>
      </c>
      <c r="H19" s="158">
        <f t="shared" ref="H19:H24" si="14">C19+(C19*6.25%)</f>
        <v>14075.203125</v>
      </c>
      <c r="I19" s="386">
        <f>H19+(H19*6.25%)</f>
        <v>14954.9033203125</v>
      </c>
    </row>
    <row r="20" spans="1:9" s="563" customFormat="1" x14ac:dyDescent="0.25">
      <c r="A20" s="253" t="s">
        <v>226</v>
      </c>
      <c r="B20" s="158">
        <v>955</v>
      </c>
      <c r="C20" s="158">
        <f t="shared" ref="C20:I24" si="15">B20+(B20*6.25%)</f>
        <v>1014.6875</v>
      </c>
      <c r="D20" s="158"/>
      <c r="E20" s="158">
        <f t="shared" si="12"/>
        <v>1014.6875</v>
      </c>
      <c r="F20" s="630">
        <v>0</v>
      </c>
      <c r="G20" s="158">
        <f t="shared" si="13"/>
        <v>1014.6875</v>
      </c>
      <c r="H20" s="158">
        <f t="shared" si="14"/>
        <v>1078.10546875</v>
      </c>
      <c r="I20" s="386">
        <f t="shared" si="15"/>
        <v>1145.487060546875</v>
      </c>
    </row>
    <row r="21" spans="1:9" s="563" customFormat="1" x14ac:dyDescent="0.25">
      <c r="A21" s="253" t="s">
        <v>7</v>
      </c>
      <c r="B21" s="158">
        <v>18155</v>
      </c>
      <c r="C21" s="158">
        <f t="shared" si="15"/>
        <v>19289.6875</v>
      </c>
      <c r="D21" s="158"/>
      <c r="E21" s="158">
        <f t="shared" si="12"/>
        <v>19289.6875</v>
      </c>
      <c r="F21" s="630">
        <v>0</v>
      </c>
      <c r="G21" s="158">
        <f t="shared" si="13"/>
        <v>19289.6875</v>
      </c>
      <c r="H21" s="158">
        <f t="shared" si="14"/>
        <v>20495.29296875</v>
      </c>
      <c r="I21" s="386">
        <f t="shared" si="15"/>
        <v>21776.248779296875</v>
      </c>
    </row>
    <row r="22" spans="1:9" s="563" customFormat="1" x14ac:dyDescent="0.25">
      <c r="A22" s="253" t="s">
        <v>53</v>
      </c>
      <c r="B22" s="158">
        <v>171877</v>
      </c>
      <c r="C22" s="158">
        <f t="shared" si="15"/>
        <v>182619.3125</v>
      </c>
      <c r="D22" s="158"/>
      <c r="E22" s="158">
        <f t="shared" si="12"/>
        <v>182619.3125</v>
      </c>
      <c r="F22" s="630">
        <v>0</v>
      </c>
      <c r="G22" s="158">
        <f t="shared" si="13"/>
        <v>182619.3125</v>
      </c>
      <c r="H22" s="158">
        <f t="shared" si="14"/>
        <v>194033.01953125</v>
      </c>
      <c r="I22" s="386">
        <f t="shared" si="15"/>
        <v>206160.08325195313</v>
      </c>
    </row>
    <row r="23" spans="1:9" s="563" customFormat="1" x14ac:dyDescent="0.25">
      <c r="A23" s="253" t="s">
        <v>175</v>
      </c>
      <c r="B23" s="158">
        <v>38234</v>
      </c>
      <c r="C23" s="158">
        <f t="shared" si="15"/>
        <v>40623.625</v>
      </c>
      <c r="D23" s="158"/>
      <c r="E23" s="158">
        <f t="shared" si="12"/>
        <v>40623.625</v>
      </c>
      <c r="F23" s="630">
        <v>0</v>
      </c>
      <c r="G23" s="158">
        <f t="shared" si="13"/>
        <v>40623.625</v>
      </c>
      <c r="H23" s="158">
        <f t="shared" si="14"/>
        <v>43162.6015625</v>
      </c>
      <c r="I23" s="386">
        <f t="shared" si="15"/>
        <v>45860.26416015625</v>
      </c>
    </row>
    <row r="24" spans="1:9" s="563" customFormat="1" x14ac:dyDescent="0.25">
      <c r="A24" s="253" t="s">
        <v>380</v>
      </c>
      <c r="B24" s="158">
        <v>667</v>
      </c>
      <c r="C24" s="158">
        <f t="shared" si="15"/>
        <v>708.6875</v>
      </c>
      <c r="D24" s="158"/>
      <c r="E24" s="158">
        <f t="shared" si="12"/>
        <v>708.6875</v>
      </c>
      <c r="F24" s="630">
        <v>0</v>
      </c>
      <c r="G24" s="158">
        <f t="shared" si="13"/>
        <v>708.6875</v>
      </c>
      <c r="H24" s="158">
        <f t="shared" si="14"/>
        <v>752.98046875</v>
      </c>
      <c r="I24" s="386">
        <f t="shared" si="15"/>
        <v>800.041748046875</v>
      </c>
    </row>
    <row r="25" spans="1:9" s="563" customFormat="1" x14ac:dyDescent="0.25"/>
    <row r="26" spans="1:9" s="563" customFormat="1" x14ac:dyDescent="0.25">
      <c r="A26" s="424" t="s">
        <v>41</v>
      </c>
      <c r="B26" s="246">
        <f ca="1">SUM(B19:B28)</f>
        <v>505670.52</v>
      </c>
      <c r="C26" s="246">
        <f>SUM(C19:C24)</f>
        <v>257503.25</v>
      </c>
      <c r="D26" s="246">
        <f t="shared" ref="D26:E26" si="16">SUM(D19:D24)</f>
        <v>0</v>
      </c>
      <c r="E26" s="246">
        <f t="shared" si="16"/>
        <v>257503.25</v>
      </c>
      <c r="F26" s="246">
        <f t="shared" ref="F26:G26" si="17">SUM(F19:F24)</f>
        <v>0</v>
      </c>
      <c r="G26" s="246">
        <f t="shared" si="17"/>
        <v>257503.25</v>
      </c>
      <c r="H26" s="246">
        <f>SUM(H19:H24)</f>
        <v>273597.203125</v>
      </c>
      <c r="I26" s="246">
        <f>SUM(I19:I24)</f>
        <v>290697.0283203125</v>
      </c>
    </row>
    <row r="27" spans="1:9" s="563" customFormat="1" x14ac:dyDescent="0.25">
      <c r="A27" s="477"/>
      <c r="B27" s="246"/>
      <c r="C27" s="246"/>
      <c r="D27" s="246"/>
      <c r="E27" s="246"/>
      <c r="F27" s="630"/>
      <c r="G27" s="351"/>
      <c r="H27" s="351"/>
      <c r="I27" s="387"/>
    </row>
    <row r="28" spans="1:9" s="563" customFormat="1" x14ac:dyDescent="0.25">
      <c r="A28" s="253" t="s">
        <v>435</v>
      </c>
      <c r="B28" s="158">
        <v>10479.26</v>
      </c>
      <c r="C28" s="158">
        <f>B28+(B28*6.25%)</f>
        <v>11134.213750000001</v>
      </c>
      <c r="D28" s="158"/>
      <c r="E28" s="158">
        <f t="shared" ref="E28:E30" si="18">C28-D28</f>
        <v>11134.213750000001</v>
      </c>
      <c r="F28" s="630">
        <v>0</v>
      </c>
      <c r="G28" s="158">
        <f t="shared" ref="G28:G30" si="19">C28+F28</f>
        <v>11134.213750000001</v>
      </c>
      <c r="H28" s="158">
        <f>C28+(C28*6.25%)</f>
        <v>11830.102109375001</v>
      </c>
      <c r="I28" s="386">
        <f>H28+(H28*6.25%)</f>
        <v>12569.483491210938</v>
      </c>
    </row>
    <row r="29" spans="1:9" x14ac:dyDescent="0.25">
      <c r="A29" s="253" t="s">
        <v>276</v>
      </c>
      <c r="B29" s="158">
        <f>5684/2</f>
        <v>2842</v>
      </c>
      <c r="C29" s="158">
        <f t="shared" ref="C29:I30" si="20">B29+(B29*6.25%)</f>
        <v>3019.625</v>
      </c>
      <c r="D29" s="158"/>
      <c r="E29" s="158">
        <f t="shared" si="18"/>
        <v>3019.625</v>
      </c>
      <c r="F29" s="630">
        <v>0</v>
      </c>
      <c r="G29" s="158">
        <f t="shared" si="19"/>
        <v>3019.625</v>
      </c>
      <c r="H29" s="158">
        <f>C29+(C29*6.25%)</f>
        <v>3208.3515625</v>
      </c>
      <c r="I29" s="386">
        <f t="shared" si="20"/>
        <v>3408.87353515625</v>
      </c>
    </row>
    <row r="30" spans="1:9" x14ac:dyDescent="0.25">
      <c r="A30" s="253" t="s">
        <v>356</v>
      </c>
      <c r="B30" s="158">
        <v>200000</v>
      </c>
      <c r="C30" s="158">
        <f t="shared" si="20"/>
        <v>212500</v>
      </c>
      <c r="D30" s="158"/>
      <c r="E30" s="158">
        <f t="shared" si="18"/>
        <v>212500</v>
      </c>
      <c r="F30" s="630">
        <v>0</v>
      </c>
      <c r="G30" s="158">
        <f t="shared" si="19"/>
        <v>212500</v>
      </c>
      <c r="H30" s="158">
        <f>C30+(C30*6.25%)</f>
        <v>225781.25</v>
      </c>
      <c r="I30" s="386">
        <f t="shared" si="20"/>
        <v>239892.578125</v>
      </c>
    </row>
    <row r="31" spans="1:9" x14ac:dyDescent="0.25">
      <c r="A31" s="424" t="s">
        <v>42</v>
      </c>
      <c r="B31" s="246">
        <f>B30+B29</f>
        <v>202842</v>
      </c>
      <c r="C31" s="246">
        <f>SUM(C28:C30)</f>
        <v>226653.83875</v>
      </c>
      <c r="D31" s="246">
        <f t="shared" ref="D31:E31" si="21">SUM(D28:D30)</f>
        <v>0</v>
      </c>
      <c r="E31" s="246">
        <f t="shared" si="21"/>
        <v>226653.83875</v>
      </c>
      <c r="F31" s="246">
        <f t="shared" ref="F31:G31" si="22">SUM(F28:F30)</f>
        <v>0</v>
      </c>
      <c r="G31" s="246">
        <f t="shared" si="22"/>
        <v>226653.83875</v>
      </c>
      <c r="H31" s="246">
        <f>SUM(H28:H30)</f>
        <v>240819.703671875</v>
      </c>
      <c r="I31" s="246">
        <f>SUM(I28:I30)</f>
        <v>255870.93515136719</v>
      </c>
    </row>
    <row r="32" spans="1:9" x14ac:dyDescent="0.25">
      <c r="A32" s="425"/>
      <c r="B32" s="158"/>
      <c r="C32" s="158"/>
      <c r="D32" s="239"/>
      <c r="E32" s="239"/>
      <c r="F32" s="239"/>
      <c r="G32" s="239"/>
      <c r="H32" s="239"/>
      <c r="I32" s="386"/>
    </row>
    <row r="33" spans="1:9" x14ac:dyDescent="0.25">
      <c r="A33" s="424" t="s">
        <v>46</v>
      </c>
      <c r="B33" s="246">
        <f ca="1">B31+B26+B17</f>
        <v>2268433.52</v>
      </c>
      <c r="C33" s="246">
        <f>C31+C26+C17</f>
        <v>2141573.1512500001</v>
      </c>
      <c r="D33" s="246">
        <f t="shared" ref="D33:E33" si="23">D31+D26+D17</f>
        <v>0</v>
      </c>
      <c r="E33" s="246">
        <f t="shared" si="23"/>
        <v>2141573.1512500001</v>
      </c>
      <c r="F33" s="246">
        <f t="shared" ref="F33:G33" si="24">F31+F26+F17</f>
        <v>0</v>
      </c>
      <c r="G33" s="246">
        <f t="shared" si="24"/>
        <v>2141573.1512500001</v>
      </c>
      <c r="H33" s="246">
        <f>H31+H26+H17</f>
        <v>2286194.6776093747</v>
      </c>
      <c r="I33" s="387">
        <f>I31+I26+I17</f>
        <v>2414021.7339080544</v>
      </c>
    </row>
    <row r="34" spans="1:9" x14ac:dyDescent="0.25">
      <c r="A34" s="565"/>
      <c r="B34" s="243"/>
      <c r="C34" s="243"/>
      <c r="D34" s="243"/>
      <c r="E34" s="243"/>
      <c r="F34" s="243"/>
      <c r="G34" s="243"/>
      <c r="H34" s="243"/>
      <c r="I34" s="386"/>
    </row>
    <row r="35" spans="1:9" ht="15.75" thickBot="1" x14ac:dyDescent="0.3">
      <c r="A35" s="570" t="s">
        <v>282</v>
      </c>
      <c r="B35" s="392">
        <f ca="1">B8+B33</f>
        <v>-960682.74</v>
      </c>
      <c r="C35" s="392">
        <f>C8+C33</f>
        <v>-1020725.4112499999</v>
      </c>
      <c r="D35" s="392">
        <f t="shared" ref="D35:E35" si="25">D8+D33</f>
        <v>0</v>
      </c>
      <c r="E35" s="392">
        <f t="shared" si="25"/>
        <v>-1020725.4112499999</v>
      </c>
      <c r="F35" s="392">
        <f t="shared" ref="F35:G35" si="26">F8+F33</f>
        <v>0</v>
      </c>
      <c r="G35" s="392">
        <f t="shared" si="26"/>
        <v>-1020725.4112499999</v>
      </c>
      <c r="H35" s="392">
        <f>H8+H33</f>
        <v>-1073747.5450468753</v>
      </c>
      <c r="I35" s="393">
        <f>I8+I33</f>
        <v>-1155916.8776642112</v>
      </c>
    </row>
  </sheetData>
  <pageMargins left="0.7" right="0.7" top="0.75" bottom="0.75" header="0.3" footer="0.3"/>
  <pageSetup paperSize="9" scale="86" orientation="landscape" r:id="rId1"/>
  <headerFooter>
    <oddFooter>&amp;C&amp;A&amp;RPage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4"/>
  <dimension ref="A1:I45"/>
  <sheetViews>
    <sheetView view="pageBreakPreview" zoomScaleNormal="90" zoomScaleSheetLayoutView="100" workbookViewId="0">
      <selection activeCell="F1" sqref="F1"/>
    </sheetView>
  </sheetViews>
  <sheetFormatPr defaultColWidth="9.140625" defaultRowHeight="15" x14ac:dyDescent="0.25"/>
  <cols>
    <col min="1" max="1" width="36.42578125" style="352" customWidth="1"/>
    <col min="2" max="2" width="15.28515625" style="247" hidden="1" customWidth="1"/>
    <col min="3" max="7" width="17.42578125" style="247" customWidth="1"/>
    <col min="8" max="8" width="16.28515625" style="247" customWidth="1"/>
    <col min="9" max="9" width="12.85546875" style="483" customWidth="1"/>
    <col min="10" max="16384" width="9.140625" style="483"/>
  </cols>
  <sheetData>
    <row r="1" spans="1:9" ht="18.75" x14ac:dyDescent="0.3">
      <c r="A1" s="519" t="s">
        <v>501</v>
      </c>
      <c r="B1" s="366"/>
      <c r="C1" s="361"/>
      <c r="D1" s="361"/>
      <c r="E1" s="361"/>
      <c r="F1" s="361"/>
      <c r="G1" s="361"/>
      <c r="H1" s="361"/>
    </row>
    <row r="2" spans="1:9" ht="15.75" thickBot="1" x14ac:dyDescent="0.3"/>
    <row r="3" spans="1:9" ht="39.75" thickBot="1" x14ac:dyDescent="0.3">
      <c r="A3" s="571" t="s">
        <v>39</v>
      </c>
      <c r="B3" s="572" t="s">
        <v>393</v>
      </c>
      <c r="C3" s="573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73" t="s">
        <v>556</v>
      </c>
      <c r="I3" s="574" t="s">
        <v>644</v>
      </c>
    </row>
    <row r="4" spans="1:9" x14ac:dyDescent="0.25">
      <c r="A4" s="560" t="s">
        <v>185</v>
      </c>
      <c r="B4" s="160">
        <v>-6992447</v>
      </c>
      <c r="C4" s="158">
        <f t="shared" ref="C4:I6" si="0">B4+(B4*6.25%)</f>
        <v>-7429474.9375</v>
      </c>
      <c r="D4" s="158"/>
      <c r="E4" s="158">
        <f>C4-D4</f>
        <v>-7429474.9375</v>
      </c>
      <c r="F4" s="630">
        <v>0</v>
      </c>
      <c r="G4" s="158">
        <f>C4+F4</f>
        <v>-7429474.9375</v>
      </c>
      <c r="H4" s="158">
        <f>C4+(C4*6.25%)</f>
        <v>-7893817.12109375</v>
      </c>
      <c r="I4" s="386">
        <f t="shared" si="0"/>
        <v>-8387180.6911621094</v>
      </c>
    </row>
    <row r="5" spans="1:9" x14ac:dyDescent="0.25">
      <c r="A5" s="560" t="s">
        <v>782</v>
      </c>
      <c r="B5" s="160"/>
      <c r="C5" s="158">
        <v>542937.5</v>
      </c>
      <c r="D5" s="158"/>
      <c r="E5" s="158">
        <f t="shared" ref="E5:E6" si="1">C5-D5</f>
        <v>542937.5</v>
      </c>
      <c r="F5" s="630">
        <v>0</v>
      </c>
      <c r="G5" s="158">
        <f t="shared" ref="G5:G6" si="2">C5+F5</f>
        <v>542937.5</v>
      </c>
      <c r="H5" s="158">
        <v>576871.09375</v>
      </c>
      <c r="I5" s="386">
        <v>612925.537109375</v>
      </c>
    </row>
    <row r="6" spans="1:9" x14ac:dyDescent="0.25">
      <c r="A6" s="560" t="s">
        <v>255</v>
      </c>
      <c r="B6" s="160">
        <v>-3460466</v>
      </c>
      <c r="C6" s="158">
        <f t="shared" si="0"/>
        <v>-3676745.125</v>
      </c>
      <c r="D6" s="158"/>
      <c r="E6" s="158">
        <f t="shared" si="1"/>
        <v>-3676745.125</v>
      </c>
      <c r="F6" s="630">
        <v>0</v>
      </c>
      <c r="G6" s="158">
        <f t="shared" si="2"/>
        <v>-3676745.125</v>
      </c>
      <c r="H6" s="158">
        <f>C6+(C6*6.25%)</f>
        <v>-3906541.6953125</v>
      </c>
      <c r="I6" s="386">
        <f t="shared" si="0"/>
        <v>-4150700.5512695313</v>
      </c>
    </row>
    <row r="7" spans="1:9" x14ac:dyDescent="0.25">
      <c r="A7" s="424" t="s">
        <v>182</v>
      </c>
      <c r="B7" s="246">
        <f>B6+B4</f>
        <v>-10452913</v>
      </c>
      <c r="C7" s="246">
        <f>SUM(C4:C6)</f>
        <v>-10563282.5625</v>
      </c>
      <c r="D7" s="246">
        <f t="shared" ref="D7:E7" si="3">SUM(D4:D6)</f>
        <v>0</v>
      </c>
      <c r="E7" s="246">
        <f t="shared" si="3"/>
        <v>-10563282.5625</v>
      </c>
      <c r="F7" s="246">
        <f t="shared" ref="F7:G7" si="4">SUM(F4:F6)</f>
        <v>0</v>
      </c>
      <c r="G7" s="246">
        <f t="shared" si="4"/>
        <v>-10563282.5625</v>
      </c>
      <c r="H7" s="246">
        <f>SUM(H4:H6)</f>
        <v>-11223487.72265625</v>
      </c>
      <c r="I7" s="246">
        <f>SUM(I4:I6)</f>
        <v>-11924955.705322266</v>
      </c>
    </row>
    <row r="8" spans="1:9" ht="18.75" x14ac:dyDescent="0.3">
      <c r="A8" s="561"/>
      <c r="B8" s="575"/>
      <c r="C8" s="562"/>
      <c r="D8" s="568"/>
      <c r="E8" s="568"/>
      <c r="F8" s="568"/>
      <c r="G8" s="568"/>
      <c r="H8" s="568"/>
      <c r="I8" s="386">
        <f>H8+(H8*5.4%)</f>
        <v>0</v>
      </c>
    </row>
    <row r="9" spans="1:9" s="563" customFormat="1" x14ac:dyDescent="0.25">
      <c r="A9" s="253" t="s">
        <v>2</v>
      </c>
      <c r="B9" s="160">
        <v>1895731</v>
      </c>
      <c r="C9" s="158">
        <f>B9+(B9*6.25%)</f>
        <v>2014214.1875</v>
      </c>
      <c r="D9" s="158"/>
      <c r="E9" s="158">
        <f t="shared" ref="E9:E15" si="5">C9-D9</f>
        <v>2014214.1875</v>
      </c>
      <c r="F9" s="630">
        <v>0</v>
      </c>
      <c r="G9" s="158">
        <f t="shared" ref="G9:G15" si="6">C9+F9</f>
        <v>2014214.1875</v>
      </c>
      <c r="H9" s="158">
        <f t="shared" ref="H9:H15" si="7">C9+(C9*6.25%)</f>
        <v>2140102.57421875</v>
      </c>
      <c r="I9" s="386">
        <f>H9+(H9*6.25%)</f>
        <v>2273858.9851074219</v>
      </c>
    </row>
    <row r="10" spans="1:9" s="563" customFormat="1" x14ac:dyDescent="0.25">
      <c r="A10" s="253" t="s">
        <v>3</v>
      </c>
      <c r="B10" s="160">
        <v>241311</v>
      </c>
      <c r="C10" s="158">
        <f t="shared" ref="C10:I15" si="8">B10+(B10*6.25%)</f>
        <v>256392.9375</v>
      </c>
      <c r="D10" s="158"/>
      <c r="E10" s="158">
        <f t="shared" si="5"/>
        <v>256392.9375</v>
      </c>
      <c r="F10" s="630">
        <v>0</v>
      </c>
      <c r="G10" s="158">
        <f t="shared" si="6"/>
        <v>256392.9375</v>
      </c>
      <c r="H10" s="158">
        <f t="shared" si="7"/>
        <v>272417.49609375</v>
      </c>
      <c r="I10" s="386">
        <f t="shared" si="8"/>
        <v>289443.58959960938</v>
      </c>
    </row>
    <row r="11" spans="1:9" s="563" customFormat="1" x14ac:dyDescent="0.25">
      <c r="A11" s="253" t="s">
        <v>17</v>
      </c>
      <c r="B11" s="160">
        <v>439798</v>
      </c>
      <c r="C11" s="158">
        <f t="shared" si="8"/>
        <v>467285.375</v>
      </c>
      <c r="D11" s="158"/>
      <c r="E11" s="158">
        <f t="shared" si="5"/>
        <v>467285.375</v>
      </c>
      <c r="F11" s="630">
        <v>0</v>
      </c>
      <c r="G11" s="158">
        <f t="shared" si="6"/>
        <v>467285.375</v>
      </c>
      <c r="H11" s="158">
        <f t="shared" si="7"/>
        <v>496490.7109375</v>
      </c>
      <c r="I11" s="386">
        <f t="shared" si="8"/>
        <v>527521.38037109375</v>
      </c>
    </row>
    <row r="12" spans="1:9" s="563" customFormat="1" x14ac:dyDescent="0.25">
      <c r="A12" s="253" t="s">
        <v>172</v>
      </c>
      <c r="B12" s="160">
        <v>187000</v>
      </c>
      <c r="C12" s="158">
        <f t="shared" si="8"/>
        <v>198687.5</v>
      </c>
      <c r="D12" s="158"/>
      <c r="E12" s="158">
        <f t="shared" si="5"/>
        <v>198687.5</v>
      </c>
      <c r="F12" s="630">
        <v>0</v>
      </c>
      <c r="G12" s="158">
        <f t="shared" si="6"/>
        <v>198687.5</v>
      </c>
      <c r="H12" s="158">
        <f t="shared" si="7"/>
        <v>211105.46875</v>
      </c>
      <c r="I12" s="386">
        <f t="shared" si="8"/>
        <v>224299.560546875</v>
      </c>
    </row>
    <row r="13" spans="1:9" s="563" customFormat="1" x14ac:dyDescent="0.25">
      <c r="A13" s="253" t="s">
        <v>4</v>
      </c>
      <c r="B13" s="160">
        <v>188884</v>
      </c>
      <c r="C13" s="158">
        <f t="shared" si="8"/>
        <v>200689.25</v>
      </c>
      <c r="D13" s="158"/>
      <c r="E13" s="158">
        <f t="shared" si="5"/>
        <v>200689.25</v>
      </c>
      <c r="F13" s="630">
        <v>0</v>
      </c>
      <c r="G13" s="158">
        <f t="shared" si="6"/>
        <v>200689.25</v>
      </c>
      <c r="H13" s="158">
        <f t="shared" si="7"/>
        <v>213232.328125</v>
      </c>
      <c r="I13" s="386">
        <f t="shared" si="8"/>
        <v>226559.3486328125</v>
      </c>
    </row>
    <row r="14" spans="1:9" s="563" customFormat="1" x14ac:dyDescent="0.25">
      <c r="A14" s="253" t="s">
        <v>5</v>
      </c>
      <c r="B14" s="160">
        <v>132807</v>
      </c>
      <c r="C14" s="158">
        <f t="shared" si="8"/>
        <v>141107.4375</v>
      </c>
      <c r="D14" s="158"/>
      <c r="E14" s="158">
        <f t="shared" si="5"/>
        <v>141107.4375</v>
      </c>
      <c r="F14" s="630">
        <v>0</v>
      </c>
      <c r="G14" s="158">
        <f t="shared" si="6"/>
        <v>141107.4375</v>
      </c>
      <c r="H14" s="158">
        <f t="shared" si="7"/>
        <v>149926.65234375</v>
      </c>
      <c r="I14" s="386">
        <f t="shared" si="8"/>
        <v>159297.06811523438</v>
      </c>
    </row>
    <row r="15" spans="1:9" s="563" customFormat="1" x14ac:dyDescent="0.25">
      <c r="A15" s="253" t="s">
        <v>173</v>
      </c>
      <c r="B15" s="158">
        <v>102803</v>
      </c>
      <c r="C15" s="158">
        <f t="shared" si="8"/>
        <v>109228.1875</v>
      </c>
      <c r="D15" s="158"/>
      <c r="E15" s="158">
        <f t="shared" si="5"/>
        <v>109228.1875</v>
      </c>
      <c r="F15" s="630">
        <v>0</v>
      </c>
      <c r="G15" s="158">
        <f t="shared" si="6"/>
        <v>109228.1875</v>
      </c>
      <c r="H15" s="158">
        <f t="shared" si="7"/>
        <v>116054.94921875</v>
      </c>
      <c r="I15" s="386">
        <f t="shared" si="8"/>
        <v>123308.38354492188</v>
      </c>
    </row>
    <row r="16" spans="1:9" s="563" customFormat="1" x14ac:dyDescent="0.25">
      <c r="A16" s="424" t="s">
        <v>40</v>
      </c>
      <c r="B16" s="246">
        <f>SUM(B9:B15)</f>
        <v>3188334</v>
      </c>
      <c r="C16" s="246">
        <f>SUM(C9:C15)</f>
        <v>3387604.875</v>
      </c>
      <c r="D16" s="246">
        <f t="shared" ref="D16:E16" si="9">SUM(D9:D15)</f>
        <v>0</v>
      </c>
      <c r="E16" s="246">
        <f t="shared" si="9"/>
        <v>3387604.875</v>
      </c>
      <c r="F16" s="246">
        <f t="shared" ref="F16:G16" si="10">SUM(F9:F15)</f>
        <v>0</v>
      </c>
      <c r="G16" s="246">
        <f t="shared" si="10"/>
        <v>3387604.875</v>
      </c>
      <c r="H16" s="246">
        <f>SUM(H9:H15)</f>
        <v>3599330.1796875</v>
      </c>
      <c r="I16" s="387">
        <f>SUM(I9:I15)</f>
        <v>3824288.3159179688</v>
      </c>
    </row>
    <row r="17" spans="1:9" s="563" customFormat="1" x14ac:dyDescent="0.25">
      <c r="A17" s="477"/>
      <c r="B17" s="246"/>
      <c r="C17" s="246"/>
      <c r="D17" s="246"/>
      <c r="E17" s="246"/>
      <c r="F17" s="246"/>
      <c r="G17" s="246"/>
      <c r="H17" s="246"/>
      <c r="I17" s="246"/>
    </row>
    <row r="18" spans="1:9" s="563" customFormat="1" x14ac:dyDescent="0.25">
      <c r="A18" s="253"/>
      <c r="B18" s="158"/>
      <c r="C18" s="158"/>
      <c r="D18" s="239"/>
      <c r="E18" s="239"/>
      <c r="F18" s="239"/>
      <c r="G18" s="239"/>
      <c r="H18" s="239"/>
      <c r="I18" s="386"/>
    </row>
    <row r="19" spans="1:9" s="563" customFormat="1" x14ac:dyDescent="0.25">
      <c r="A19" s="253" t="s">
        <v>6</v>
      </c>
      <c r="B19" s="160">
        <v>398000</v>
      </c>
      <c r="C19" s="158">
        <f>B19+(B19*6.25%)</f>
        <v>422875</v>
      </c>
      <c r="D19" s="158"/>
      <c r="E19" s="158">
        <f t="shared" ref="E19:E22" si="11">C19-D19</f>
        <v>422875</v>
      </c>
      <c r="F19" s="630">
        <v>0</v>
      </c>
      <c r="G19" s="158">
        <f t="shared" ref="G19:G22" si="12">C19+F19</f>
        <v>422875</v>
      </c>
      <c r="H19" s="158">
        <f>C19+(C19*6.25%)</f>
        <v>449304.6875</v>
      </c>
      <c r="I19" s="386">
        <f>H19+(H19*6.25%)</f>
        <v>477386.23046875</v>
      </c>
    </row>
    <row r="20" spans="1:9" s="563" customFormat="1" x14ac:dyDescent="0.25">
      <c r="A20" s="253" t="s">
        <v>53</v>
      </c>
      <c r="B20" s="160">
        <v>637061</v>
      </c>
      <c r="C20" s="158">
        <f t="shared" ref="C20:I22" si="13">B20+(B20*6.25%)</f>
        <v>676877.3125</v>
      </c>
      <c r="D20" s="158"/>
      <c r="E20" s="158">
        <f t="shared" si="11"/>
        <v>676877.3125</v>
      </c>
      <c r="F20" s="630">
        <v>0</v>
      </c>
      <c r="G20" s="158">
        <f t="shared" si="12"/>
        <v>676877.3125</v>
      </c>
      <c r="H20" s="158">
        <f>C20+(C20*6.25%)</f>
        <v>719182.14453125</v>
      </c>
      <c r="I20" s="386">
        <f t="shared" si="13"/>
        <v>764131.02856445313</v>
      </c>
    </row>
    <row r="21" spans="1:9" s="563" customFormat="1" x14ac:dyDescent="0.25">
      <c r="A21" s="253" t="s">
        <v>174</v>
      </c>
      <c r="B21" s="160">
        <v>2391</v>
      </c>
      <c r="C21" s="158">
        <f t="shared" si="13"/>
        <v>2540.4375</v>
      </c>
      <c r="D21" s="158"/>
      <c r="E21" s="158">
        <f t="shared" si="11"/>
        <v>2540.4375</v>
      </c>
      <c r="F21" s="630">
        <v>0</v>
      </c>
      <c r="G21" s="158">
        <f t="shared" si="12"/>
        <v>2540.4375</v>
      </c>
      <c r="H21" s="158">
        <f>C21+(C21*6.25%)</f>
        <v>2699.21484375</v>
      </c>
      <c r="I21" s="386">
        <f t="shared" si="13"/>
        <v>2867.915771484375</v>
      </c>
    </row>
    <row r="22" spans="1:9" s="563" customFormat="1" x14ac:dyDescent="0.25">
      <c r="A22" s="253" t="s">
        <v>175</v>
      </c>
      <c r="B22" s="160">
        <v>15357</v>
      </c>
      <c r="C22" s="158">
        <f t="shared" si="13"/>
        <v>16316.8125</v>
      </c>
      <c r="D22" s="158"/>
      <c r="E22" s="158">
        <f t="shared" si="11"/>
        <v>16316.8125</v>
      </c>
      <c r="F22" s="630">
        <v>0</v>
      </c>
      <c r="G22" s="158">
        <f t="shared" si="12"/>
        <v>16316.8125</v>
      </c>
      <c r="H22" s="158">
        <f>C22+(C22*6.25%)</f>
        <v>17336.61328125</v>
      </c>
      <c r="I22" s="386">
        <f t="shared" si="13"/>
        <v>18420.151611328125</v>
      </c>
    </row>
    <row r="23" spans="1:9" s="563" customFormat="1" x14ac:dyDescent="0.25">
      <c r="A23" s="424" t="s">
        <v>41</v>
      </c>
      <c r="B23" s="246">
        <f>SUM(B19:B22)</f>
        <v>1052809</v>
      </c>
      <c r="C23" s="246">
        <f>SUM(C19:C22)</f>
        <v>1118609.5625</v>
      </c>
      <c r="D23" s="246">
        <f t="shared" ref="D23:E23" si="14">SUM(D19:D22)</f>
        <v>0</v>
      </c>
      <c r="E23" s="246">
        <f t="shared" si="14"/>
        <v>1118609.5625</v>
      </c>
      <c r="F23" s="246">
        <f t="shared" ref="F23:G23" si="15">SUM(F19:F22)</f>
        <v>0</v>
      </c>
      <c r="G23" s="246">
        <f t="shared" si="15"/>
        <v>1118609.5625</v>
      </c>
      <c r="H23" s="246">
        <f>SUM(H19:H22)</f>
        <v>1188522.66015625</v>
      </c>
      <c r="I23" s="387">
        <f>SUM(I19:I22)</f>
        <v>1262805.3264160156</v>
      </c>
    </row>
    <row r="24" spans="1:9" x14ac:dyDescent="0.25">
      <c r="A24" s="477"/>
      <c r="B24" s="246"/>
      <c r="C24" s="246"/>
      <c r="D24" s="351"/>
      <c r="E24" s="351"/>
      <c r="F24" s="351"/>
      <c r="G24" s="351"/>
      <c r="H24" s="351"/>
      <c r="I24" s="386"/>
    </row>
    <row r="25" spans="1:9" s="563" customFormat="1" x14ac:dyDescent="0.25">
      <c r="A25" s="253" t="s">
        <v>244</v>
      </c>
      <c r="B25" s="160">
        <v>6789887</v>
      </c>
      <c r="C25" s="158">
        <f>B25+(B25*6.25%)</f>
        <v>7214254.9375</v>
      </c>
      <c r="D25" s="158"/>
      <c r="E25" s="158">
        <f t="shared" ref="E25" si="16">C25-D25</f>
        <v>7214254.9375</v>
      </c>
      <c r="F25" s="630">
        <v>0</v>
      </c>
      <c r="G25" s="158">
        <f t="shared" ref="G25" si="17">C25+F25</f>
        <v>7214254.9375</v>
      </c>
      <c r="H25" s="158">
        <f>C25+(C25*6.25%)</f>
        <v>7665145.87109375</v>
      </c>
      <c r="I25" s="386">
        <f>H25+(H25*6.25%)</f>
        <v>8144217.4880371094</v>
      </c>
    </row>
    <row r="26" spans="1:9" s="563" customFormat="1" x14ac:dyDescent="0.25">
      <c r="A26" s="424" t="s">
        <v>244</v>
      </c>
      <c r="B26" s="246">
        <f>B25</f>
        <v>6789887</v>
      </c>
      <c r="C26" s="246">
        <f>C25</f>
        <v>7214254.9375</v>
      </c>
      <c r="D26" s="246">
        <f t="shared" ref="D26:E26" si="18">D25</f>
        <v>0</v>
      </c>
      <c r="E26" s="246">
        <f t="shared" si="18"/>
        <v>7214254.9375</v>
      </c>
      <c r="F26" s="246">
        <f t="shared" ref="F26:G26" si="19">F25</f>
        <v>0</v>
      </c>
      <c r="G26" s="246">
        <f t="shared" si="19"/>
        <v>7214254.9375</v>
      </c>
      <c r="H26" s="246">
        <f>H25</f>
        <v>7665145.87109375</v>
      </c>
      <c r="I26" s="387">
        <f>I25</f>
        <v>8144217.4880371094</v>
      </c>
    </row>
    <row r="27" spans="1:9" s="352" customFormat="1" x14ac:dyDescent="0.25">
      <c r="A27" s="253"/>
      <c r="B27" s="158"/>
      <c r="C27" s="158"/>
      <c r="D27" s="239"/>
      <c r="E27" s="239"/>
      <c r="F27" s="239"/>
      <c r="G27" s="239"/>
      <c r="H27" s="239"/>
      <c r="I27" s="386"/>
    </row>
    <row r="28" spans="1:9" s="352" customFormat="1" x14ac:dyDescent="0.25">
      <c r="A28" s="253" t="s">
        <v>176</v>
      </c>
      <c r="B28" s="160">
        <v>135728</v>
      </c>
      <c r="C28" s="158">
        <f>B28+(B28*6.25%)</f>
        <v>144211</v>
      </c>
      <c r="D28" s="158"/>
      <c r="E28" s="158">
        <f t="shared" ref="E28:E30" si="20">C28-D28</f>
        <v>144211</v>
      </c>
      <c r="F28" s="630">
        <v>0</v>
      </c>
      <c r="G28" s="158">
        <f t="shared" ref="G28:G30" si="21">C28+F28</f>
        <v>144211</v>
      </c>
      <c r="H28" s="158">
        <f>C28+(C28*6.25%)</f>
        <v>153224.1875</v>
      </c>
      <c r="I28" s="386">
        <f>H28+(H28*6.25%)</f>
        <v>162800.69921875</v>
      </c>
    </row>
    <row r="29" spans="1:9" x14ac:dyDescent="0.25">
      <c r="A29" s="253" t="s">
        <v>212</v>
      </c>
      <c r="B29" s="160">
        <v>13059</v>
      </c>
      <c r="C29" s="158">
        <f t="shared" ref="C29:I30" si="22">B29+(B29*6.25%)</f>
        <v>13875.1875</v>
      </c>
      <c r="D29" s="158"/>
      <c r="E29" s="158">
        <f t="shared" si="20"/>
        <v>13875.1875</v>
      </c>
      <c r="F29" s="630">
        <v>0</v>
      </c>
      <c r="G29" s="158">
        <f t="shared" si="21"/>
        <v>13875.1875</v>
      </c>
      <c r="H29" s="158">
        <f>C29+(C29*6.25%)</f>
        <v>14742.38671875</v>
      </c>
      <c r="I29" s="386">
        <f t="shared" si="22"/>
        <v>15663.785888671875</v>
      </c>
    </row>
    <row r="30" spans="1:9" x14ac:dyDescent="0.25">
      <c r="A30" s="253" t="s">
        <v>20</v>
      </c>
      <c r="B30" s="160">
        <v>566730</v>
      </c>
      <c r="C30" s="158">
        <f t="shared" si="22"/>
        <v>602150.625</v>
      </c>
      <c r="D30" s="158"/>
      <c r="E30" s="158">
        <f t="shared" si="20"/>
        <v>602150.625</v>
      </c>
      <c r="F30" s="630">
        <v>0</v>
      </c>
      <c r="G30" s="158">
        <f t="shared" si="21"/>
        <v>602150.625</v>
      </c>
      <c r="H30" s="158">
        <f>C30+(C30*6.25%)</f>
        <v>639785.0390625</v>
      </c>
      <c r="I30" s="386">
        <f t="shared" si="22"/>
        <v>679771.60400390625</v>
      </c>
    </row>
    <row r="31" spans="1:9" x14ac:dyDescent="0.25">
      <c r="A31" s="424" t="s">
        <v>43</v>
      </c>
      <c r="B31" s="246">
        <f>SUM(B28:B30)</f>
        <v>715517</v>
      </c>
      <c r="C31" s="246">
        <f>SUM(C28:C30)</f>
        <v>760236.8125</v>
      </c>
      <c r="D31" s="246">
        <f t="shared" ref="D31:E31" si="23">SUM(D28:D30)</f>
        <v>0</v>
      </c>
      <c r="E31" s="246">
        <f t="shared" si="23"/>
        <v>760236.8125</v>
      </c>
      <c r="F31" s="246">
        <f t="shared" ref="F31:G31" si="24">SUM(F28:F30)</f>
        <v>0</v>
      </c>
      <c r="G31" s="246">
        <f t="shared" si="24"/>
        <v>760236.8125</v>
      </c>
      <c r="H31" s="246">
        <f>SUM(H28:H30)</f>
        <v>807751.61328125</v>
      </c>
      <c r="I31" s="387">
        <f>SUM(I28:I30)</f>
        <v>858236.08911132813</v>
      </c>
    </row>
    <row r="32" spans="1:9" x14ac:dyDescent="0.25">
      <c r="A32" s="477"/>
      <c r="B32" s="246"/>
      <c r="C32" s="246"/>
      <c r="D32" s="351"/>
      <c r="E32" s="351"/>
      <c r="F32" s="351"/>
      <c r="G32" s="351"/>
      <c r="H32" s="351"/>
      <c r="I32" s="386"/>
    </row>
    <row r="33" spans="1:9" x14ac:dyDescent="0.25">
      <c r="A33" s="271" t="s">
        <v>170</v>
      </c>
      <c r="B33" s="158">
        <v>10425302</v>
      </c>
      <c r="C33" s="158">
        <f>B33+(B33*6.25%)</f>
        <v>11076883.375</v>
      </c>
      <c r="D33" s="158"/>
      <c r="E33" s="158">
        <f t="shared" ref="E33" si="25">C33-D33</f>
        <v>11076883.375</v>
      </c>
      <c r="F33" s="630">
        <v>0</v>
      </c>
      <c r="G33" s="158">
        <f t="shared" ref="G33" si="26">C33+F33</f>
        <v>11076883.375</v>
      </c>
      <c r="H33" s="158">
        <f>C33+(C33*6.25%)</f>
        <v>11769188.5859375</v>
      </c>
      <c r="I33" s="386">
        <f>H33+(H33*6.25%)</f>
        <v>12504762.872558594</v>
      </c>
    </row>
    <row r="34" spans="1:9" x14ac:dyDescent="0.25">
      <c r="A34" s="424" t="s">
        <v>434</v>
      </c>
      <c r="B34" s="246">
        <f>SUM(B33)</f>
        <v>10425302</v>
      </c>
      <c r="C34" s="246">
        <f>SUM(C33)</f>
        <v>11076883.375</v>
      </c>
      <c r="D34" s="246">
        <f t="shared" ref="D34:E34" si="27">SUM(D33)</f>
        <v>0</v>
      </c>
      <c r="E34" s="246">
        <f t="shared" si="27"/>
        <v>11076883.375</v>
      </c>
      <c r="F34" s="246">
        <f t="shared" ref="F34:G34" si="28">SUM(F33)</f>
        <v>0</v>
      </c>
      <c r="G34" s="246">
        <f t="shared" si="28"/>
        <v>11076883.375</v>
      </c>
      <c r="H34" s="246">
        <f>SUM(H33)</f>
        <v>11769188.5859375</v>
      </c>
      <c r="I34" s="387">
        <f>SUM(I33)</f>
        <v>12504762.872558594</v>
      </c>
    </row>
    <row r="35" spans="1:9" x14ac:dyDescent="0.25">
      <c r="A35" s="253"/>
      <c r="B35" s="158"/>
      <c r="C35" s="158"/>
      <c r="D35" s="239"/>
      <c r="E35" s="239"/>
      <c r="F35" s="239"/>
      <c r="G35" s="239"/>
      <c r="H35" s="239"/>
      <c r="I35" s="386"/>
    </row>
    <row r="36" spans="1:9" x14ac:dyDescent="0.25">
      <c r="A36" s="253" t="s">
        <v>189</v>
      </c>
      <c r="B36" s="160">
        <v>6714</v>
      </c>
      <c r="C36" s="158">
        <f>B36+(B36*6.25%)</f>
        <v>7133.625</v>
      </c>
      <c r="D36" s="158"/>
      <c r="E36" s="158">
        <f t="shared" ref="E36:E40" si="29">C36-D36</f>
        <v>7133.625</v>
      </c>
      <c r="F36" s="630">
        <v>0</v>
      </c>
      <c r="G36" s="158">
        <f t="shared" ref="G36:G40" si="30">C36+F36</f>
        <v>7133.625</v>
      </c>
      <c r="H36" s="158">
        <f>C36+(C36*6.25%)</f>
        <v>7579.4765625</v>
      </c>
      <c r="I36" s="386">
        <f>H36+(H36*6.25%)</f>
        <v>8053.19384765625</v>
      </c>
    </row>
    <row r="37" spans="1:9" x14ac:dyDescent="0.25">
      <c r="A37" s="253" t="s">
        <v>24</v>
      </c>
      <c r="B37" s="160">
        <v>590281</v>
      </c>
      <c r="C37" s="158">
        <f t="shared" ref="C37:I40" si="31">B37+(B37*6.25%)</f>
        <v>627173.5625</v>
      </c>
      <c r="D37" s="158"/>
      <c r="E37" s="158">
        <f t="shared" si="29"/>
        <v>627173.5625</v>
      </c>
      <c r="F37" s="630">
        <v>0</v>
      </c>
      <c r="G37" s="158">
        <f t="shared" si="30"/>
        <v>627173.5625</v>
      </c>
      <c r="H37" s="158">
        <f>C37+(C37*6.25%)</f>
        <v>666371.91015625</v>
      </c>
      <c r="I37" s="386">
        <f t="shared" si="31"/>
        <v>708020.15454101563</v>
      </c>
    </row>
    <row r="38" spans="1:9" x14ac:dyDescent="0.25">
      <c r="A38" s="271" t="s">
        <v>57</v>
      </c>
      <c r="B38" s="160">
        <v>13600</v>
      </c>
      <c r="C38" s="158">
        <f t="shared" si="31"/>
        <v>14450</v>
      </c>
      <c r="D38" s="158"/>
      <c r="E38" s="158">
        <f t="shared" si="29"/>
        <v>14450</v>
      </c>
      <c r="F38" s="630">
        <v>0</v>
      </c>
      <c r="G38" s="158">
        <f t="shared" si="30"/>
        <v>14450</v>
      </c>
      <c r="H38" s="158">
        <f>C38+(C38*6.25%)</f>
        <v>15353.125</v>
      </c>
      <c r="I38" s="386">
        <f t="shared" si="31"/>
        <v>16312.6953125</v>
      </c>
    </row>
    <row r="39" spans="1:9" x14ac:dyDescent="0.25">
      <c r="A39" s="271" t="s">
        <v>190</v>
      </c>
      <c r="B39" s="160">
        <f>14164/2</f>
        <v>7082</v>
      </c>
      <c r="C39" s="158">
        <f t="shared" si="31"/>
        <v>7524.625</v>
      </c>
      <c r="D39" s="158"/>
      <c r="E39" s="158">
        <f t="shared" si="29"/>
        <v>7524.625</v>
      </c>
      <c r="F39" s="630">
        <v>0</v>
      </c>
      <c r="G39" s="158">
        <f t="shared" si="30"/>
        <v>7524.625</v>
      </c>
      <c r="H39" s="158">
        <f>C39+(C39*6.25%)</f>
        <v>7994.9140625</v>
      </c>
      <c r="I39" s="386">
        <f t="shared" si="31"/>
        <v>8494.59619140625</v>
      </c>
    </row>
    <row r="40" spans="1:9" x14ac:dyDescent="0.25">
      <c r="A40" s="271" t="s">
        <v>10</v>
      </c>
      <c r="B40" s="160">
        <v>8000</v>
      </c>
      <c r="C40" s="158">
        <f t="shared" si="31"/>
        <v>8500</v>
      </c>
      <c r="D40" s="158"/>
      <c r="E40" s="158">
        <f t="shared" si="29"/>
        <v>8500</v>
      </c>
      <c r="F40" s="630">
        <v>0</v>
      </c>
      <c r="G40" s="158">
        <f t="shared" si="30"/>
        <v>8500</v>
      </c>
      <c r="H40" s="158">
        <f>C40+(C40*6.25%)</f>
        <v>9031.25</v>
      </c>
      <c r="I40" s="386">
        <f t="shared" si="31"/>
        <v>9595.703125</v>
      </c>
    </row>
    <row r="41" spans="1:9" x14ac:dyDescent="0.25">
      <c r="A41" s="424" t="s">
        <v>42</v>
      </c>
      <c r="B41" s="246">
        <f>SUM(B36:B40)</f>
        <v>625677</v>
      </c>
      <c r="C41" s="246">
        <f>SUM(C36:C40)</f>
        <v>664781.8125</v>
      </c>
      <c r="D41" s="246">
        <f t="shared" ref="D41:E41" si="32">SUM(D36:D40)</f>
        <v>0</v>
      </c>
      <c r="E41" s="246">
        <f t="shared" si="32"/>
        <v>664781.8125</v>
      </c>
      <c r="F41" s="246">
        <f t="shared" ref="F41:G41" si="33">SUM(F36:F40)</f>
        <v>0</v>
      </c>
      <c r="G41" s="246">
        <f t="shared" si="33"/>
        <v>664781.8125</v>
      </c>
      <c r="H41" s="246">
        <f>SUM(H36:H40)</f>
        <v>706330.67578125</v>
      </c>
      <c r="I41" s="387">
        <f>SUM(I36:I40)</f>
        <v>750476.34301757813</v>
      </c>
    </row>
    <row r="42" spans="1:9" x14ac:dyDescent="0.25">
      <c r="A42" s="253"/>
      <c r="B42" s="158"/>
      <c r="C42" s="158"/>
      <c r="D42" s="239"/>
      <c r="E42" s="239"/>
      <c r="F42" s="239"/>
      <c r="G42" s="239"/>
      <c r="H42" s="239"/>
      <c r="I42" s="386"/>
    </row>
    <row r="43" spans="1:9" x14ac:dyDescent="0.25">
      <c r="A43" s="424" t="s">
        <v>46</v>
      </c>
      <c r="B43" s="246">
        <f t="shared" ref="B43:I43" si="34">B41+B31+B26+B23+B16+B34</f>
        <v>22797526</v>
      </c>
      <c r="C43" s="246">
        <f t="shared" si="34"/>
        <v>24222371.375</v>
      </c>
      <c r="D43" s="246">
        <f t="shared" si="34"/>
        <v>0</v>
      </c>
      <c r="E43" s="246">
        <f t="shared" si="34"/>
        <v>24222371.375</v>
      </c>
      <c r="F43" s="246">
        <f t="shared" si="34"/>
        <v>0</v>
      </c>
      <c r="G43" s="246">
        <f t="shared" si="34"/>
        <v>24222371.375</v>
      </c>
      <c r="H43" s="246">
        <f t="shared" si="34"/>
        <v>25736269.5859375</v>
      </c>
      <c r="I43" s="387">
        <f t="shared" si="34"/>
        <v>27344786.435058594</v>
      </c>
    </row>
    <row r="44" spans="1:9" x14ac:dyDescent="0.25">
      <c r="A44" s="565"/>
      <c r="B44" s="243"/>
      <c r="C44" s="243"/>
      <c r="D44" s="243"/>
      <c r="E44" s="243"/>
      <c r="F44" s="243"/>
      <c r="G44" s="243"/>
      <c r="H44" s="243"/>
      <c r="I44" s="386"/>
    </row>
    <row r="45" spans="1:9" ht="15.75" thickBot="1" x14ac:dyDescent="0.3">
      <c r="A45" s="566" t="s">
        <v>282</v>
      </c>
      <c r="B45" s="392">
        <f t="shared" ref="B45:I45" si="35">B7+B43</f>
        <v>12344613</v>
      </c>
      <c r="C45" s="392">
        <f t="shared" si="35"/>
        <v>13659088.8125</v>
      </c>
      <c r="D45" s="392">
        <f t="shared" si="35"/>
        <v>0</v>
      </c>
      <c r="E45" s="392">
        <f t="shared" si="35"/>
        <v>13659088.8125</v>
      </c>
      <c r="F45" s="392">
        <f t="shared" si="35"/>
        <v>0</v>
      </c>
      <c r="G45" s="392">
        <f t="shared" si="35"/>
        <v>13659088.8125</v>
      </c>
      <c r="H45" s="392">
        <f t="shared" si="35"/>
        <v>14512781.86328125</v>
      </c>
      <c r="I45" s="393">
        <f t="shared" si="35"/>
        <v>15419830.729736328</v>
      </c>
    </row>
  </sheetData>
  <pageMargins left="0.7" right="0.7" top="0.75" bottom="0.75" header="0.3" footer="0.3"/>
  <pageSetup paperSize="9" scale="70" fitToHeight="2" orientation="landscape" r:id="rId1"/>
  <headerFooter>
    <oddFooter>&amp;C&amp;A&amp;RPage &amp;P</oddFooter>
  </headerFooter>
  <legacy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I40"/>
  <sheetViews>
    <sheetView view="pageBreakPreview" zoomScale="112" zoomScaleNormal="100" zoomScaleSheetLayoutView="112" workbookViewId="0">
      <selection activeCell="F1" sqref="F1"/>
    </sheetView>
  </sheetViews>
  <sheetFormatPr defaultColWidth="9.140625" defaultRowHeight="15" x14ac:dyDescent="0.25"/>
  <cols>
    <col min="1" max="1" width="34.28515625" style="352" customWidth="1"/>
    <col min="2" max="2" width="15.28515625" style="247" hidden="1" customWidth="1"/>
    <col min="3" max="7" width="16.140625" style="247" customWidth="1"/>
    <col min="8" max="8" width="16.28515625" style="247" customWidth="1"/>
    <col min="9" max="9" width="13.85546875" style="483" customWidth="1"/>
    <col min="10" max="16384" width="9.140625" style="483"/>
  </cols>
  <sheetData>
    <row r="1" spans="1:9" ht="18.75" x14ac:dyDescent="0.3">
      <c r="A1" s="519" t="s">
        <v>504</v>
      </c>
      <c r="B1" s="366"/>
      <c r="C1" s="361"/>
      <c r="D1" s="361"/>
      <c r="E1" s="361"/>
      <c r="F1" s="361"/>
      <c r="G1" s="361"/>
      <c r="H1" s="361"/>
    </row>
    <row r="2" spans="1:9" ht="15.75" thickBot="1" x14ac:dyDescent="0.3"/>
    <row r="3" spans="1:9" ht="39.75" thickBot="1" x14ac:dyDescent="0.3">
      <c r="A3" s="517" t="s">
        <v>39</v>
      </c>
      <c r="B3" s="537" t="s">
        <v>393</v>
      </c>
      <c r="C3" s="538" t="s">
        <v>442</v>
      </c>
      <c r="D3" s="604" t="s">
        <v>800</v>
      </c>
      <c r="E3" s="715" t="s">
        <v>87</v>
      </c>
      <c r="F3" s="384" t="s">
        <v>164</v>
      </c>
      <c r="G3" s="605" t="s">
        <v>789</v>
      </c>
      <c r="H3" s="538" t="s">
        <v>556</v>
      </c>
      <c r="I3" s="428" t="s">
        <v>644</v>
      </c>
    </row>
    <row r="4" spans="1:9" x14ac:dyDescent="0.25">
      <c r="A4" s="560" t="s">
        <v>191</v>
      </c>
      <c r="B4" s="160">
        <v>-2517378</v>
      </c>
      <c r="C4" s="158">
        <f>B4+(B4*6.25%)</f>
        <v>-2674714.125</v>
      </c>
      <c r="D4" s="158"/>
      <c r="E4" s="158">
        <f>C4-D4</f>
        <v>-2674714.125</v>
      </c>
      <c r="F4" s="630">
        <v>0</v>
      </c>
      <c r="G4" s="158">
        <f>C4+F4</f>
        <v>-2674714.125</v>
      </c>
      <c r="H4" s="158">
        <f>C4+(C4*6.25%)</f>
        <v>-2841883.7578125</v>
      </c>
      <c r="I4" s="386">
        <f>H4+(H4*6.25%)</f>
        <v>-3019501.4926757813</v>
      </c>
    </row>
    <row r="5" spans="1:9" x14ac:dyDescent="0.25">
      <c r="A5" s="560" t="s">
        <v>213</v>
      </c>
      <c r="B5" s="160">
        <v>-917610</v>
      </c>
      <c r="C5" s="158">
        <f t="shared" ref="C5:I7" si="0">B5+(B5*6.25%)</f>
        <v>-974960.625</v>
      </c>
      <c r="D5" s="158"/>
      <c r="E5" s="158">
        <f t="shared" ref="E5:E7" si="1">C5-D5</f>
        <v>-974960.625</v>
      </c>
      <c r="F5" s="630">
        <v>0</v>
      </c>
      <c r="G5" s="158">
        <f t="shared" ref="G5:G7" si="2">C5+F5</f>
        <v>-974960.625</v>
      </c>
      <c r="H5" s="158">
        <f>C5+(C5*6.25%)</f>
        <v>-1035895.6640625</v>
      </c>
      <c r="I5" s="386">
        <f t="shared" si="0"/>
        <v>-1100639.1430664063</v>
      </c>
    </row>
    <row r="6" spans="1:9" x14ac:dyDescent="0.25">
      <c r="A6" s="253" t="s">
        <v>261</v>
      </c>
      <c r="B6" s="160"/>
      <c r="C6" s="158">
        <v>53125</v>
      </c>
      <c r="D6" s="158"/>
      <c r="E6" s="158">
        <f t="shared" si="1"/>
        <v>53125</v>
      </c>
      <c r="F6" s="630">
        <v>0</v>
      </c>
      <c r="G6" s="158">
        <f t="shared" si="2"/>
        <v>53125</v>
      </c>
      <c r="H6" s="158">
        <v>56445.3125</v>
      </c>
      <c r="I6" s="386">
        <v>59973.14453125</v>
      </c>
    </row>
    <row r="7" spans="1:9" x14ac:dyDescent="0.25">
      <c r="A7" s="560" t="s">
        <v>255</v>
      </c>
      <c r="B7" s="160">
        <v>-422401</v>
      </c>
      <c r="C7" s="158">
        <f t="shared" si="0"/>
        <v>-448801.0625</v>
      </c>
      <c r="D7" s="158"/>
      <c r="E7" s="158">
        <f t="shared" si="1"/>
        <v>-448801.0625</v>
      </c>
      <c r="F7" s="630">
        <v>0</v>
      </c>
      <c r="G7" s="158">
        <f t="shared" si="2"/>
        <v>-448801.0625</v>
      </c>
      <c r="H7" s="158">
        <f>C7+(C7*6.25%)</f>
        <v>-476851.12890625</v>
      </c>
      <c r="I7" s="386">
        <f t="shared" si="0"/>
        <v>-506654.32446289063</v>
      </c>
    </row>
    <row r="8" spans="1:9" x14ac:dyDescent="0.25">
      <c r="A8" s="424" t="s">
        <v>182</v>
      </c>
      <c r="B8" s="246">
        <f>SUM(B4:B7)</f>
        <v>-3857389</v>
      </c>
      <c r="C8" s="246">
        <f>SUM(C4:C7)</f>
        <v>-4045350.8125</v>
      </c>
      <c r="D8" s="246">
        <f t="shared" ref="D8:E8" si="3">SUM(D4:D7)</f>
        <v>0</v>
      </c>
      <c r="E8" s="246">
        <f t="shared" si="3"/>
        <v>-4045350.8125</v>
      </c>
      <c r="F8" s="246">
        <f t="shared" ref="F8:G8" si="4">SUM(F4:F7)</f>
        <v>0</v>
      </c>
      <c r="G8" s="246">
        <f t="shared" si="4"/>
        <v>-4045350.8125</v>
      </c>
      <c r="H8" s="246">
        <f>SUM(H4:H7)</f>
        <v>-4298185.23828125</v>
      </c>
      <c r="I8" s="387">
        <f>SUM(I4:I7)</f>
        <v>-4566821.8156738281</v>
      </c>
    </row>
    <row r="9" spans="1:9" ht="18.75" x14ac:dyDescent="0.3">
      <c r="A9" s="561"/>
      <c r="B9" s="575"/>
      <c r="C9" s="562"/>
      <c r="D9" s="568"/>
      <c r="E9" s="568"/>
      <c r="F9" s="568"/>
      <c r="G9" s="568"/>
      <c r="H9" s="568"/>
      <c r="I9" s="386">
        <f>H9+(H9*5.4%)</f>
        <v>0</v>
      </c>
    </row>
    <row r="10" spans="1:9" s="563" customFormat="1" x14ac:dyDescent="0.25">
      <c r="A10" s="253" t="s">
        <v>2</v>
      </c>
      <c r="B10" s="158">
        <v>270641</v>
      </c>
      <c r="C10" s="158">
        <f t="shared" ref="C10:I15" si="5">B10+(B10*6.25%)</f>
        <v>287556.0625</v>
      </c>
      <c r="D10" s="158"/>
      <c r="E10" s="158">
        <f t="shared" ref="E10:E15" si="6">C10-D10</f>
        <v>287556.0625</v>
      </c>
      <c r="F10" s="630">
        <v>0</v>
      </c>
      <c r="G10" s="158">
        <f t="shared" ref="G10:G15" si="7">C10+F10</f>
        <v>287556.0625</v>
      </c>
      <c r="H10" s="158">
        <f t="shared" ref="H10:H15" si="8">C10+(C10*6.25%)</f>
        <v>305528.31640625</v>
      </c>
      <c r="I10" s="386">
        <f t="shared" si="5"/>
        <v>324623.83618164063</v>
      </c>
    </row>
    <row r="11" spans="1:9" s="563" customFormat="1" x14ac:dyDescent="0.25">
      <c r="A11" s="253" t="s">
        <v>3</v>
      </c>
      <c r="B11" s="158">
        <v>53950</v>
      </c>
      <c r="C11" s="158">
        <f t="shared" si="5"/>
        <v>57321.875</v>
      </c>
      <c r="D11" s="158"/>
      <c r="E11" s="158">
        <f t="shared" si="6"/>
        <v>57321.875</v>
      </c>
      <c r="F11" s="630">
        <v>0</v>
      </c>
      <c r="G11" s="158">
        <f t="shared" si="7"/>
        <v>57321.875</v>
      </c>
      <c r="H11" s="158">
        <f t="shared" si="8"/>
        <v>60904.4921875</v>
      </c>
      <c r="I11" s="386">
        <f t="shared" si="5"/>
        <v>64711.02294921875</v>
      </c>
    </row>
    <row r="12" spans="1:9" s="563" customFormat="1" x14ac:dyDescent="0.25">
      <c r="A12" s="253" t="s">
        <v>17</v>
      </c>
      <c r="B12" s="158">
        <v>130000</v>
      </c>
      <c r="C12" s="158">
        <f t="shared" si="5"/>
        <v>138125</v>
      </c>
      <c r="D12" s="158"/>
      <c r="E12" s="158">
        <f t="shared" si="6"/>
        <v>138125</v>
      </c>
      <c r="F12" s="630">
        <v>0</v>
      </c>
      <c r="G12" s="158">
        <f t="shared" si="7"/>
        <v>138125</v>
      </c>
      <c r="H12" s="158">
        <f t="shared" si="8"/>
        <v>146757.8125</v>
      </c>
      <c r="I12" s="386">
        <f t="shared" si="5"/>
        <v>155930.17578125</v>
      </c>
    </row>
    <row r="13" spans="1:9" s="563" customFormat="1" x14ac:dyDescent="0.25">
      <c r="A13" s="253" t="s">
        <v>172</v>
      </c>
      <c r="B13" s="158">
        <v>45304</v>
      </c>
      <c r="C13" s="158">
        <f t="shared" si="5"/>
        <v>48135.5</v>
      </c>
      <c r="D13" s="158"/>
      <c r="E13" s="158">
        <f t="shared" si="6"/>
        <v>48135.5</v>
      </c>
      <c r="F13" s="630">
        <v>0</v>
      </c>
      <c r="G13" s="158">
        <f t="shared" si="7"/>
        <v>48135.5</v>
      </c>
      <c r="H13" s="158">
        <f t="shared" si="8"/>
        <v>51143.96875</v>
      </c>
      <c r="I13" s="386">
        <f t="shared" si="5"/>
        <v>54340.466796875</v>
      </c>
    </row>
    <row r="14" spans="1:9" s="563" customFormat="1" x14ac:dyDescent="0.25">
      <c r="A14" s="253" t="s">
        <v>4</v>
      </c>
      <c r="B14" s="158">
        <v>6195</v>
      </c>
      <c r="C14" s="158">
        <f t="shared" si="5"/>
        <v>6582.1875</v>
      </c>
      <c r="D14" s="158"/>
      <c r="E14" s="158">
        <f t="shared" si="6"/>
        <v>6582.1875</v>
      </c>
      <c r="F14" s="630">
        <v>0</v>
      </c>
      <c r="G14" s="158">
        <f t="shared" si="7"/>
        <v>6582.1875</v>
      </c>
      <c r="H14" s="158">
        <f t="shared" si="8"/>
        <v>6993.57421875</v>
      </c>
      <c r="I14" s="386">
        <f t="shared" si="5"/>
        <v>7430.672607421875</v>
      </c>
    </row>
    <row r="15" spans="1:9" s="563" customFormat="1" x14ac:dyDescent="0.25">
      <c r="A15" s="253" t="s">
        <v>173</v>
      </c>
      <c r="B15" s="158">
        <v>62860</v>
      </c>
      <c r="C15" s="158">
        <f t="shared" si="5"/>
        <v>66788.75</v>
      </c>
      <c r="D15" s="158"/>
      <c r="E15" s="158">
        <f t="shared" si="6"/>
        <v>66788.75</v>
      </c>
      <c r="F15" s="630">
        <v>0</v>
      </c>
      <c r="G15" s="158">
        <f t="shared" si="7"/>
        <v>66788.75</v>
      </c>
      <c r="H15" s="158">
        <f t="shared" si="8"/>
        <v>70963.046875</v>
      </c>
      <c r="I15" s="386">
        <f t="shared" si="5"/>
        <v>75398.2373046875</v>
      </c>
    </row>
    <row r="16" spans="1:9" s="563" customFormat="1" x14ac:dyDescent="0.25">
      <c r="A16" s="424" t="s">
        <v>40</v>
      </c>
      <c r="B16" s="246">
        <f>SUM(B10:B15)</f>
        <v>568950</v>
      </c>
      <c r="C16" s="246">
        <f>SUM(C10:C15)</f>
        <v>604509.375</v>
      </c>
      <c r="D16" s="246">
        <f t="shared" ref="D16:E16" si="9">SUM(D10:D15)</f>
        <v>0</v>
      </c>
      <c r="E16" s="246">
        <f t="shared" si="9"/>
        <v>604509.375</v>
      </c>
      <c r="F16" s="246">
        <f t="shared" ref="F16:G16" si="10">SUM(F10:F15)</f>
        <v>0</v>
      </c>
      <c r="G16" s="246">
        <f t="shared" si="10"/>
        <v>604509.375</v>
      </c>
      <c r="H16" s="246">
        <f>SUM(H10:H15)</f>
        <v>642291.2109375</v>
      </c>
      <c r="I16" s="387">
        <f>SUM(I10:I15)</f>
        <v>682434.41162109375</v>
      </c>
    </row>
    <row r="17" spans="1:9" s="563" customFormat="1" x14ac:dyDescent="0.25">
      <c r="A17" s="253"/>
      <c r="B17" s="158"/>
      <c r="C17" s="158"/>
      <c r="D17" s="239"/>
      <c r="E17" s="239"/>
      <c r="F17" s="239"/>
      <c r="G17" s="239"/>
      <c r="H17" s="239"/>
      <c r="I17" s="386"/>
    </row>
    <row r="18" spans="1:9" s="563" customFormat="1" x14ac:dyDescent="0.25">
      <c r="A18" s="253" t="s">
        <v>53</v>
      </c>
      <c r="B18" s="158">
        <v>58748</v>
      </c>
      <c r="C18" s="158">
        <f>B18+(B18*6.25%)</f>
        <v>62419.75</v>
      </c>
      <c r="D18" s="158"/>
      <c r="E18" s="158">
        <f t="shared" ref="E18:E21" si="11">C18-D18</f>
        <v>62419.75</v>
      </c>
      <c r="F18" s="630">
        <v>0</v>
      </c>
      <c r="G18" s="158">
        <f t="shared" ref="G18:G21" si="12">C18+F18</f>
        <v>62419.75</v>
      </c>
      <c r="H18" s="158">
        <f>C18+(C18*6.25%)</f>
        <v>66320.984375</v>
      </c>
      <c r="I18" s="386">
        <f>H18+(H18*6.25%)</f>
        <v>70466.0458984375</v>
      </c>
    </row>
    <row r="19" spans="1:9" s="563" customFormat="1" x14ac:dyDescent="0.25">
      <c r="A19" s="253" t="s">
        <v>174</v>
      </c>
      <c r="B19" s="158">
        <v>435</v>
      </c>
      <c r="C19" s="158">
        <f t="shared" ref="C19:I21" si="13">B19+(B19*6.25%)</f>
        <v>462.1875</v>
      </c>
      <c r="D19" s="158"/>
      <c r="E19" s="158">
        <f t="shared" si="11"/>
        <v>462.1875</v>
      </c>
      <c r="F19" s="630">
        <v>0</v>
      </c>
      <c r="G19" s="158">
        <f t="shared" si="12"/>
        <v>462.1875</v>
      </c>
      <c r="H19" s="158">
        <f>C19+(C19*6.25%)</f>
        <v>491.07421875</v>
      </c>
      <c r="I19" s="386">
        <f t="shared" si="13"/>
        <v>521.766357421875</v>
      </c>
    </row>
    <row r="20" spans="1:9" s="563" customFormat="1" x14ac:dyDescent="0.25">
      <c r="A20" s="253" t="s">
        <v>6</v>
      </c>
      <c r="B20" s="158">
        <v>1963</v>
      </c>
      <c r="C20" s="158">
        <f t="shared" si="13"/>
        <v>2085.6875</v>
      </c>
      <c r="D20" s="158"/>
      <c r="E20" s="158">
        <f t="shared" si="11"/>
        <v>2085.6875</v>
      </c>
      <c r="F20" s="630">
        <v>0</v>
      </c>
      <c r="G20" s="158">
        <f t="shared" si="12"/>
        <v>2085.6875</v>
      </c>
      <c r="H20" s="158">
        <f>C20+(C20*6.25%)</f>
        <v>2216.04296875</v>
      </c>
      <c r="I20" s="386">
        <f t="shared" si="13"/>
        <v>2354.545654296875</v>
      </c>
    </row>
    <row r="21" spans="1:9" s="563" customFormat="1" x14ac:dyDescent="0.25">
      <c r="A21" s="253" t="s">
        <v>175</v>
      </c>
      <c r="B21" s="158">
        <v>4231</v>
      </c>
      <c r="C21" s="158">
        <f t="shared" si="13"/>
        <v>4495.4375</v>
      </c>
      <c r="D21" s="158"/>
      <c r="E21" s="158">
        <f t="shared" si="11"/>
        <v>4495.4375</v>
      </c>
      <c r="F21" s="630">
        <v>0</v>
      </c>
      <c r="G21" s="158">
        <f t="shared" si="12"/>
        <v>4495.4375</v>
      </c>
      <c r="H21" s="158">
        <f>C21+(C21*6.25%)</f>
        <v>4776.40234375</v>
      </c>
      <c r="I21" s="386">
        <f t="shared" si="13"/>
        <v>5074.927490234375</v>
      </c>
    </row>
    <row r="22" spans="1:9" s="563" customFormat="1" x14ac:dyDescent="0.25">
      <c r="A22" s="424" t="s">
        <v>41</v>
      </c>
      <c r="B22" s="246">
        <f>SUM(B18:B21)</f>
        <v>65377</v>
      </c>
      <c r="C22" s="246">
        <f>SUM(C18:C21)</f>
        <v>69463.0625</v>
      </c>
      <c r="D22" s="246">
        <f t="shared" ref="D22:E22" si="14">SUM(D18:D21)</f>
        <v>0</v>
      </c>
      <c r="E22" s="246">
        <f t="shared" si="14"/>
        <v>69463.0625</v>
      </c>
      <c r="F22" s="246">
        <f t="shared" ref="F22:G22" si="15">SUM(F18:F21)</f>
        <v>0</v>
      </c>
      <c r="G22" s="246">
        <f t="shared" si="15"/>
        <v>69463.0625</v>
      </c>
      <c r="H22" s="246">
        <f>SUM(H18:H21)</f>
        <v>73804.50390625</v>
      </c>
      <c r="I22" s="387">
        <f>SUM(I18:I21)</f>
        <v>78417.285400390625</v>
      </c>
    </row>
    <row r="23" spans="1:9" s="563" customFormat="1" x14ac:dyDescent="0.25">
      <c r="A23" s="477"/>
      <c r="B23" s="246"/>
      <c r="C23" s="246"/>
      <c r="D23" s="246"/>
      <c r="E23" s="246"/>
      <c r="F23" s="246"/>
      <c r="G23" s="246"/>
      <c r="H23" s="246"/>
      <c r="I23" s="246"/>
    </row>
    <row r="24" spans="1:9" s="563" customFormat="1" x14ac:dyDescent="0.25">
      <c r="A24" s="253" t="s">
        <v>244</v>
      </c>
      <c r="B24" s="160">
        <v>1139323</v>
      </c>
      <c r="C24" s="158">
        <f>B24+(B24*6.25%)</f>
        <v>1210530.6875</v>
      </c>
      <c r="D24" s="158"/>
      <c r="E24" s="158">
        <f t="shared" ref="E24" si="16">C24-D24</f>
        <v>1210530.6875</v>
      </c>
      <c r="F24" s="630">
        <v>0</v>
      </c>
      <c r="G24" s="158">
        <f t="shared" ref="G24" si="17">C24+F24</f>
        <v>1210530.6875</v>
      </c>
      <c r="H24" s="158">
        <f>C24+(C24*6.25%)</f>
        <v>1286188.85546875</v>
      </c>
      <c r="I24" s="386">
        <f>H24+(H24*6.25%)</f>
        <v>1366575.6589355469</v>
      </c>
    </row>
    <row r="25" spans="1:9" s="563" customFormat="1" x14ac:dyDescent="0.25">
      <c r="A25" s="424" t="s">
        <v>244</v>
      </c>
      <c r="B25" s="246">
        <f>B24</f>
        <v>1139323</v>
      </c>
      <c r="C25" s="246">
        <f>C24</f>
        <v>1210530.6875</v>
      </c>
      <c r="D25" s="246">
        <f t="shared" ref="D25:E25" si="18">D24</f>
        <v>0</v>
      </c>
      <c r="E25" s="246">
        <f t="shared" si="18"/>
        <v>1210530.6875</v>
      </c>
      <c r="F25" s="246">
        <f t="shared" ref="F25:G25" si="19">F24</f>
        <v>0</v>
      </c>
      <c r="G25" s="246">
        <f t="shared" si="19"/>
        <v>1210530.6875</v>
      </c>
      <c r="H25" s="246">
        <f>H24</f>
        <v>1286188.85546875</v>
      </c>
      <c r="I25" s="387">
        <f>I24</f>
        <v>1366575.6589355469</v>
      </c>
    </row>
    <row r="26" spans="1:9" x14ac:dyDescent="0.25">
      <c r="A26" s="253"/>
      <c r="B26" s="158"/>
      <c r="C26" s="158"/>
      <c r="D26" s="239"/>
      <c r="E26" s="239"/>
      <c r="F26" s="239"/>
      <c r="G26" s="239"/>
      <c r="H26" s="239"/>
      <c r="I26" s="386"/>
    </row>
    <row r="27" spans="1:9" s="563" customFormat="1" x14ac:dyDescent="0.25">
      <c r="A27" s="253" t="s">
        <v>176</v>
      </c>
      <c r="B27" s="158">
        <v>95840</v>
      </c>
      <c r="C27" s="158">
        <f>B27+(B27*6.25%)</f>
        <v>101830</v>
      </c>
      <c r="D27" s="158"/>
      <c r="E27" s="158">
        <f t="shared" ref="E27:E29" si="20">C27-D27</f>
        <v>101830</v>
      </c>
      <c r="F27" s="630">
        <v>0</v>
      </c>
      <c r="G27" s="158">
        <f t="shared" ref="G27:G29" si="21">C27+F27</f>
        <v>101830</v>
      </c>
      <c r="H27" s="158">
        <f>C27+(C27*6.25%)</f>
        <v>108194.375</v>
      </c>
      <c r="I27" s="386">
        <f>H27+(H27*6.25%)</f>
        <v>114956.5234375</v>
      </c>
    </row>
    <row r="28" spans="1:9" s="563" customFormat="1" x14ac:dyDescent="0.25">
      <c r="A28" s="253" t="s">
        <v>198</v>
      </c>
      <c r="B28" s="158">
        <v>8364</v>
      </c>
      <c r="C28" s="158">
        <f t="shared" ref="C28:I29" si="22">B28+(B28*6.25%)</f>
        <v>8886.75</v>
      </c>
      <c r="D28" s="158"/>
      <c r="E28" s="158">
        <f t="shared" si="20"/>
        <v>8886.75</v>
      </c>
      <c r="F28" s="630">
        <v>0</v>
      </c>
      <c r="G28" s="158">
        <f t="shared" si="21"/>
        <v>8886.75</v>
      </c>
      <c r="H28" s="158">
        <f>C28+(C28*6.25%)</f>
        <v>9442.171875</v>
      </c>
      <c r="I28" s="386">
        <f t="shared" si="22"/>
        <v>10032.3076171875</v>
      </c>
    </row>
    <row r="29" spans="1:9" s="563" customFormat="1" x14ac:dyDescent="0.25">
      <c r="A29" s="253" t="s">
        <v>20</v>
      </c>
      <c r="B29" s="158">
        <v>104489</v>
      </c>
      <c r="C29" s="158">
        <f t="shared" si="22"/>
        <v>111019.5625</v>
      </c>
      <c r="D29" s="158"/>
      <c r="E29" s="158">
        <f t="shared" si="20"/>
        <v>111019.5625</v>
      </c>
      <c r="F29" s="630">
        <v>0</v>
      </c>
      <c r="G29" s="158">
        <f t="shared" si="21"/>
        <v>111019.5625</v>
      </c>
      <c r="H29" s="158">
        <f>C29+(C29*6.25%)</f>
        <v>117958.28515625</v>
      </c>
      <c r="I29" s="386">
        <f t="shared" si="22"/>
        <v>125330.67797851563</v>
      </c>
    </row>
    <row r="30" spans="1:9" s="563" customFormat="1" x14ac:dyDescent="0.25">
      <c r="A30" s="424" t="s">
        <v>43</v>
      </c>
      <c r="B30" s="246">
        <f>SUM(B27:B29)</f>
        <v>208693</v>
      </c>
      <c r="C30" s="246">
        <f>SUM(C27:C29)</f>
        <v>221736.3125</v>
      </c>
      <c r="D30" s="246">
        <f t="shared" ref="D30:E30" si="23">SUM(D27:D29)</f>
        <v>0</v>
      </c>
      <c r="E30" s="246">
        <f t="shared" si="23"/>
        <v>221736.3125</v>
      </c>
      <c r="F30" s="246">
        <f t="shared" ref="F30:G30" si="24">SUM(F27:F29)</f>
        <v>0</v>
      </c>
      <c r="G30" s="246">
        <f t="shared" si="24"/>
        <v>221736.3125</v>
      </c>
      <c r="H30" s="246">
        <f>SUM(H27:H29)</f>
        <v>235594.83203125</v>
      </c>
      <c r="I30" s="387">
        <f>SUM(I27:I29)</f>
        <v>250319.50903320313</v>
      </c>
    </row>
    <row r="31" spans="1:9" x14ac:dyDescent="0.25">
      <c r="A31" s="253"/>
      <c r="B31" s="158"/>
      <c r="C31" s="158"/>
      <c r="D31" s="239"/>
      <c r="E31" s="239"/>
      <c r="F31" s="239"/>
      <c r="G31" s="239"/>
      <c r="H31" s="239"/>
      <c r="I31" s="386"/>
    </row>
    <row r="32" spans="1:9" s="563" customFormat="1" x14ac:dyDescent="0.25">
      <c r="A32" s="253" t="s">
        <v>189</v>
      </c>
      <c r="B32" s="158">
        <v>17256</v>
      </c>
      <c r="C32" s="158">
        <f>B32+(B32*6.25%)</f>
        <v>18334.5</v>
      </c>
      <c r="D32" s="158"/>
      <c r="E32" s="158">
        <f t="shared" ref="E32:E35" si="25">C32-D32</f>
        <v>18334.5</v>
      </c>
      <c r="F32" s="630">
        <v>0</v>
      </c>
      <c r="G32" s="158">
        <f t="shared" ref="G32:G35" si="26">C32+F32</f>
        <v>18334.5</v>
      </c>
      <c r="H32" s="158">
        <f>C32+(C32*6.25%)</f>
        <v>19480.40625</v>
      </c>
      <c r="I32" s="386">
        <f>H32+(H32*6.25%)</f>
        <v>20697.931640625</v>
      </c>
    </row>
    <row r="33" spans="1:9" s="563" customFormat="1" x14ac:dyDescent="0.25">
      <c r="A33" s="253" t="s">
        <v>24</v>
      </c>
      <c r="B33" s="158">
        <v>78504</v>
      </c>
      <c r="C33" s="158">
        <f t="shared" ref="C33:I35" si="27">B33+(B33*6.25%)</f>
        <v>83410.5</v>
      </c>
      <c r="D33" s="158"/>
      <c r="E33" s="158">
        <f t="shared" si="25"/>
        <v>83410.5</v>
      </c>
      <c r="F33" s="630">
        <v>0</v>
      </c>
      <c r="G33" s="158">
        <f t="shared" si="26"/>
        <v>83410.5</v>
      </c>
      <c r="H33" s="158">
        <f>C33+(C33*6.25%)</f>
        <v>88623.65625</v>
      </c>
      <c r="I33" s="386">
        <f t="shared" si="27"/>
        <v>94162.634765625</v>
      </c>
    </row>
    <row r="34" spans="1:9" s="563" customFormat="1" x14ac:dyDescent="0.25">
      <c r="A34" s="271" t="s">
        <v>57</v>
      </c>
      <c r="B34" s="158">
        <v>10657</v>
      </c>
      <c r="C34" s="158">
        <f t="shared" si="27"/>
        <v>11323.0625</v>
      </c>
      <c r="D34" s="158"/>
      <c r="E34" s="158">
        <f t="shared" si="25"/>
        <v>11323.0625</v>
      </c>
      <c r="F34" s="630">
        <v>0</v>
      </c>
      <c r="G34" s="158">
        <f t="shared" si="26"/>
        <v>11323.0625</v>
      </c>
      <c r="H34" s="158">
        <f>C34+(C34*6.25%)</f>
        <v>12030.75390625</v>
      </c>
      <c r="I34" s="386">
        <f t="shared" si="27"/>
        <v>12782.676025390625</v>
      </c>
    </row>
    <row r="35" spans="1:9" s="563" customFormat="1" x14ac:dyDescent="0.25">
      <c r="A35" s="271" t="s">
        <v>190</v>
      </c>
      <c r="B35" s="158">
        <f>35700/2</f>
        <v>17850</v>
      </c>
      <c r="C35" s="158">
        <f t="shared" si="27"/>
        <v>18965.625</v>
      </c>
      <c r="D35" s="158"/>
      <c r="E35" s="158">
        <f t="shared" si="25"/>
        <v>18965.625</v>
      </c>
      <c r="F35" s="630">
        <v>0</v>
      </c>
      <c r="G35" s="158">
        <f t="shared" si="26"/>
        <v>18965.625</v>
      </c>
      <c r="H35" s="158">
        <f>C35+(C35*6.25%)</f>
        <v>20150.9765625</v>
      </c>
      <c r="I35" s="386">
        <f t="shared" si="27"/>
        <v>21410.41259765625</v>
      </c>
    </row>
    <row r="36" spans="1:9" s="563" customFormat="1" x14ac:dyDescent="0.25">
      <c r="A36" s="424" t="s">
        <v>42</v>
      </c>
      <c r="B36" s="246">
        <f>SUM(B32:B35)</f>
        <v>124267</v>
      </c>
      <c r="C36" s="246">
        <f>SUM(C32:C35)</f>
        <v>132033.6875</v>
      </c>
      <c r="D36" s="246">
        <f t="shared" ref="D36:E36" si="28">SUM(D32:D35)</f>
        <v>0</v>
      </c>
      <c r="E36" s="246">
        <f t="shared" si="28"/>
        <v>132033.6875</v>
      </c>
      <c r="F36" s="246">
        <f t="shared" ref="F36:G36" si="29">SUM(F32:F35)</f>
        <v>0</v>
      </c>
      <c r="G36" s="246">
        <f t="shared" si="29"/>
        <v>132033.6875</v>
      </c>
      <c r="H36" s="246">
        <f>SUM(H32:H35)</f>
        <v>140285.79296875</v>
      </c>
      <c r="I36" s="387">
        <f>SUM(I32:I35)</f>
        <v>149053.65502929688</v>
      </c>
    </row>
    <row r="37" spans="1:9" s="563" customFormat="1" x14ac:dyDescent="0.25">
      <c r="A37" s="253"/>
      <c r="B37" s="158"/>
      <c r="C37" s="158"/>
      <c r="D37" s="239"/>
      <c r="E37" s="239"/>
      <c r="F37" s="239"/>
      <c r="G37" s="239"/>
      <c r="H37" s="239"/>
      <c r="I37" s="386"/>
    </row>
    <row r="38" spans="1:9" s="563" customFormat="1" x14ac:dyDescent="0.25">
      <c r="A38" s="424" t="s">
        <v>46</v>
      </c>
      <c r="B38" s="246">
        <f>SUM(B36+B30+B25+B22+B16)</f>
        <v>2106610</v>
      </c>
      <c r="C38" s="246">
        <f>SUM(C36+C30+C25+C22+C16)</f>
        <v>2238273.125</v>
      </c>
      <c r="D38" s="246">
        <f t="shared" ref="D38:E38" si="30">SUM(D36+D30+D25+D22+D16)</f>
        <v>0</v>
      </c>
      <c r="E38" s="246">
        <f t="shared" si="30"/>
        <v>2238273.125</v>
      </c>
      <c r="F38" s="246">
        <f t="shared" ref="F38:G38" si="31">SUM(F36+F30+F25+F22+F16)</f>
        <v>0</v>
      </c>
      <c r="G38" s="246">
        <f t="shared" si="31"/>
        <v>2238273.125</v>
      </c>
      <c r="H38" s="246">
        <f>SUM(H36+H30+H25+H22+H16)</f>
        <v>2378165.1953125</v>
      </c>
      <c r="I38" s="387">
        <f>SUM(I36+I30+I25+I22+I16)</f>
        <v>2526800.5200195313</v>
      </c>
    </row>
    <row r="39" spans="1:9" x14ac:dyDescent="0.25">
      <c r="A39" s="272"/>
      <c r="B39" s="243"/>
      <c r="C39" s="243"/>
      <c r="D39" s="243"/>
      <c r="E39" s="243"/>
      <c r="F39" s="243"/>
      <c r="G39" s="243"/>
      <c r="H39" s="243"/>
      <c r="I39" s="386"/>
    </row>
    <row r="40" spans="1:9" ht="15.75" thickBot="1" x14ac:dyDescent="0.3">
      <c r="A40" s="535" t="s">
        <v>794</v>
      </c>
      <c r="B40" s="392">
        <f>B38+B8</f>
        <v>-1750779</v>
      </c>
      <c r="C40" s="392">
        <f>C38+C8</f>
        <v>-1807077.6875</v>
      </c>
      <c r="D40" s="392">
        <f t="shared" ref="D40:E40" si="32">D38+D8</f>
        <v>0</v>
      </c>
      <c r="E40" s="392">
        <f t="shared" si="32"/>
        <v>-1807077.6875</v>
      </c>
      <c r="F40" s="392">
        <f t="shared" ref="F40:G40" si="33">F38+F8</f>
        <v>0</v>
      </c>
      <c r="G40" s="392">
        <f t="shared" si="33"/>
        <v>-1807077.6875</v>
      </c>
      <c r="H40" s="392">
        <f>H38+H8</f>
        <v>-1920020.04296875</v>
      </c>
      <c r="I40" s="393">
        <f>I38+I8</f>
        <v>-2040021.2956542969</v>
      </c>
    </row>
  </sheetData>
  <pageMargins left="0.7" right="0.7" top="0.75" bottom="0.75" header="0.3" footer="0.3"/>
  <pageSetup paperSize="9" scale="79" fitToHeight="2" orientation="landscape" r:id="rId1"/>
  <headerFooter>
    <oddFooter>&amp;A&amp;RPage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7"/>
  <dimension ref="A1:L79"/>
  <sheetViews>
    <sheetView view="pageBreakPreview" zoomScaleNormal="100" zoomScaleSheetLayoutView="100" workbookViewId="0">
      <selection activeCell="F1" sqref="F1"/>
    </sheetView>
  </sheetViews>
  <sheetFormatPr defaultColWidth="9.140625" defaultRowHeight="15" x14ac:dyDescent="0.25"/>
  <cols>
    <col min="1" max="1" width="49.85546875" style="352" customWidth="1"/>
    <col min="2" max="2" width="19.42578125" style="247" hidden="1" customWidth="1"/>
    <col min="3" max="7" width="17.42578125" style="247" customWidth="1"/>
    <col min="8" max="8" width="16.28515625" style="247" customWidth="1"/>
    <col min="9" max="9" width="15.42578125" style="483" customWidth="1"/>
    <col min="10" max="10" width="11" style="483" hidden="1" customWidth="1"/>
    <col min="11" max="12" width="10.42578125" style="483" hidden="1" customWidth="1"/>
    <col min="13" max="16384" width="9.140625" style="483"/>
  </cols>
  <sheetData>
    <row r="1" spans="1:12" ht="18.75" x14ac:dyDescent="0.3">
      <c r="A1" s="519" t="s">
        <v>505</v>
      </c>
      <c r="B1" s="361"/>
      <c r="C1" s="361"/>
      <c r="D1" s="361"/>
      <c r="E1" s="361"/>
      <c r="F1" s="361"/>
      <c r="G1" s="361"/>
      <c r="H1" s="361"/>
    </row>
    <row r="2" spans="1:12" ht="15.75" thickBot="1" x14ac:dyDescent="0.3"/>
    <row r="3" spans="1:12" ht="39.75" thickBot="1" x14ac:dyDescent="0.3">
      <c r="A3" s="517" t="s">
        <v>39</v>
      </c>
      <c r="B3" s="537" t="s">
        <v>393</v>
      </c>
      <c r="C3" s="538" t="s">
        <v>442</v>
      </c>
      <c r="D3" s="604" t="s">
        <v>800</v>
      </c>
      <c r="E3" s="715" t="s">
        <v>87</v>
      </c>
      <c r="F3" s="605" t="s">
        <v>164</v>
      </c>
      <c r="G3" s="605" t="s">
        <v>789</v>
      </c>
      <c r="H3" s="538" t="s">
        <v>556</v>
      </c>
      <c r="I3" s="428" t="s">
        <v>644</v>
      </c>
    </row>
    <row r="4" spans="1:12" x14ac:dyDescent="0.25">
      <c r="A4" s="560" t="s">
        <v>192</v>
      </c>
      <c r="B4" s="373">
        <v>-381837</v>
      </c>
      <c r="C4" s="158">
        <f>B4+(B4*6.25%)</f>
        <v>-405701.8125</v>
      </c>
      <c r="D4" s="158"/>
      <c r="E4" s="158">
        <f>C4-D4</f>
        <v>-405701.8125</v>
      </c>
      <c r="F4" s="630">
        <v>0</v>
      </c>
      <c r="G4" s="158">
        <f>C4+F4</f>
        <v>-405701.8125</v>
      </c>
      <c r="H4" s="158">
        <f>C4+(C4*6.25%)</f>
        <v>-431058.17578125</v>
      </c>
      <c r="I4" s="386">
        <f>H4+(H4*6.25%)</f>
        <v>-457999.31176757813</v>
      </c>
      <c r="J4" s="498">
        <f>SUM(C4,C5)</f>
        <v>-1999451.8125</v>
      </c>
      <c r="K4" s="498">
        <f>SUM(H4,H5)</f>
        <v>-2124417.55078125</v>
      </c>
      <c r="L4" s="498">
        <f>SUM(I4,I5)</f>
        <v>-2257193.6477050781</v>
      </c>
    </row>
    <row r="5" spans="1:12" x14ac:dyDescent="0.25">
      <c r="A5" s="560" t="s">
        <v>262</v>
      </c>
      <c r="B5" s="373">
        <v>-1500000</v>
      </c>
      <c r="C5" s="158">
        <f t="shared" ref="C5:I8" si="0">B5+(B5*6.25%)</f>
        <v>-1593750</v>
      </c>
      <c r="D5" s="158"/>
      <c r="E5" s="158">
        <f t="shared" ref="E5:E8" si="1">C5-D5</f>
        <v>-1593750</v>
      </c>
      <c r="F5" s="630">
        <v>0</v>
      </c>
      <c r="G5" s="158">
        <f t="shared" ref="G5:G8" si="2">C5+F5</f>
        <v>-1593750</v>
      </c>
      <c r="H5" s="158">
        <f>C5+(C5*6.25%)</f>
        <v>-1693359.375</v>
      </c>
      <c r="I5" s="386">
        <f t="shared" si="0"/>
        <v>-1799194.3359375</v>
      </c>
    </row>
    <row r="6" spans="1:12" x14ac:dyDescent="0.25">
      <c r="A6" s="560" t="s">
        <v>263</v>
      </c>
      <c r="B6" s="373">
        <v>-24100000</v>
      </c>
      <c r="C6" s="158">
        <f t="shared" si="0"/>
        <v>-25606250</v>
      </c>
      <c r="D6" s="158"/>
      <c r="E6" s="158">
        <f t="shared" si="1"/>
        <v>-25606250</v>
      </c>
      <c r="F6" s="630">
        <v>0</v>
      </c>
      <c r="G6" s="158">
        <f t="shared" si="2"/>
        <v>-25606250</v>
      </c>
      <c r="H6" s="158">
        <f>C6+(C6*6.25%)</f>
        <v>-27206640.625</v>
      </c>
      <c r="I6" s="386">
        <f t="shared" si="0"/>
        <v>-28907055.6640625</v>
      </c>
    </row>
    <row r="7" spans="1:12" x14ac:dyDescent="0.25">
      <c r="A7" s="560" t="s">
        <v>278</v>
      </c>
      <c r="B7" s="373">
        <v>505736</v>
      </c>
      <c r="C7" s="158">
        <f t="shared" si="0"/>
        <v>537344.5</v>
      </c>
      <c r="D7" s="158"/>
      <c r="E7" s="158">
        <f t="shared" si="1"/>
        <v>537344.5</v>
      </c>
      <c r="F7" s="630">
        <v>0</v>
      </c>
      <c r="G7" s="158">
        <f t="shared" si="2"/>
        <v>537344.5</v>
      </c>
      <c r="H7" s="158">
        <f>C7+(C7*6.25%)</f>
        <v>570928.53125</v>
      </c>
      <c r="I7" s="386">
        <f t="shared" si="0"/>
        <v>606611.564453125</v>
      </c>
    </row>
    <row r="8" spans="1:12" x14ac:dyDescent="0.25">
      <c r="A8" s="560" t="s">
        <v>255</v>
      </c>
      <c r="B8" s="373">
        <v>-4330660</v>
      </c>
      <c r="C8" s="158">
        <f t="shared" si="0"/>
        <v>-4601326.25</v>
      </c>
      <c r="D8" s="158"/>
      <c r="E8" s="158">
        <f t="shared" si="1"/>
        <v>-4601326.25</v>
      </c>
      <c r="F8" s="630">
        <v>0</v>
      </c>
      <c r="G8" s="158">
        <f t="shared" si="2"/>
        <v>-4601326.25</v>
      </c>
      <c r="H8" s="158">
        <f>C8+(C8*6.25%)</f>
        <v>-4888909.140625</v>
      </c>
      <c r="I8" s="386">
        <f t="shared" si="0"/>
        <v>-5194465.9619140625</v>
      </c>
    </row>
    <row r="9" spans="1:12" x14ac:dyDescent="0.25">
      <c r="A9" s="424" t="s">
        <v>182</v>
      </c>
      <c r="B9" s="246">
        <f>SUM(B4:B8)</f>
        <v>-29806761</v>
      </c>
      <c r="C9" s="246">
        <f>SUM(C4:C8)</f>
        <v>-31669683.5625</v>
      </c>
      <c r="D9" s="246">
        <f t="shared" ref="D9:E9" si="3">SUM(D4:D8)</f>
        <v>0</v>
      </c>
      <c r="E9" s="246">
        <f t="shared" si="3"/>
        <v>-31669683.5625</v>
      </c>
      <c r="F9" s="246">
        <f t="shared" ref="F9:G9" si="4">SUM(F4:F8)</f>
        <v>0</v>
      </c>
      <c r="G9" s="246">
        <f t="shared" si="4"/>
        <v>-31669683.5625</v>
      </c>
      <c r="H9" s="246">
        <f>SUM(H4:H8)</f>
        <v>-33649038.78515625</v>
      </c>
      <c r="I9" s="387">
        <f>SUM(I4:I8)</f>
        <v>-35752103.709228516</v>
      </c>
    </row>
    <row r="10" spans="1:12" x14ac:dyDescent="0.25">
      <c r="A10" s="477"/>
      <c r="B10" s="246"/>
      <c r="C10" s="246"/>
      <c r="D10" s="351"/>
      <c r="E10" s="351"/>
      <c r="F10" s="351"/>
      <c r="G10" s="351"/>
      <c r="H10" s="351"/>
      <c r="I10" s="386">
        <f>H10+(H10*5.4%)</f>
        <v>0</v>
      </c>
    </row>
    <row r="11" spans="1:12" hidden="1" x14ac:dyDescent="0.25">
      <c r="A11" s="271" t="s">
        <v>279</v>
      </c>
      <c r="B11" s="576">
        <v>0</v>
      </c>
      <c r="C11" s="158">
        <f>B11+(B11*5.9%)</f>
        <v>0</v>
      </c>
      <c r="D11" s="239"/>
      <c r="E11" s="239"/>
      <c r="F11" s="239"/>
      <c r="G11" s="239"/>
      <c r="H11" s="239">
        <f>C11+(C11*5.6%)</f>
        <v>0</v>
      </c>
      <c r="I11" s="386">
        <f>H11+(H11*5.4%)</f>
        <v>0</v>
      </c>
    </row>
    <row r="12" spans="1:12" hidden="1" x14ac:dyDescent="0.25">
      <c r="A12" s="271"/>
      <c r="B12" s="158"/>
      <c r="C12" s="158"/>
      <c r="D12" s="239"/>
      <c r="E12" s="239"/>
      <c r="F12" s="239"/>
      <c r="G12" s="239"/>
      <c r="H12" s="239"/>
      <c r="I12" s="386">
        <f>H12+(H12*5.4%)</f>
        <v>0</v>
      </c>
    </row>
    <row r="13" spans="1:12" ht="15" hidden="1" customHeight="1" x14ac:dyDescent="0.25">
      <c r="A13" s="564"/>
      <c r="B13" s="246">
        <f>SUM(B11:B12)</f>
        <v>0</v>
      </c>
      <c r="C13" s="246">
        <f>SUM(C11:C12)</f>
        <v>0</v>
      </c>
      <c r="D13" s="246"/>
      <c r="E13" s="246"/>
      <c r="F13" s="246"/>
      <c r="G13" s="246"/>
      <c r="H13" s="246">
        <f>SUM(H11:H12)</f>
        <v>0</v>
      </c>
      <c r="I13" s="386">
        <f>H13+(H13*5.4%)</f>
        <v>0</v>
      </c>
    </row>
    <row r="14" spans="1:12" x14ac:dyDescent="0.25">
      <c r="A14" s="477"/>
      <c r="B14" s="246"/>
      <c r="C14" s="246"/>
      <c r="D14" s="351"/>
      <c r="E14" s="351"/>
      <c r="F14" s="351"/>
      <c r="G14" s="351"/>
      <c r="H14" s="351"/>
      <c r="I14" s="386">
        <f>H14+(H14*5.4%)</f>
        <v>0</v>
      </c>
    </row>
    <row r="15" spans="1:12" s="563" customFormat="1" x14ac:dyDescent="0.25">
      <c r="A15" s="253" t="s">
        <v>2</v>
      </c>
      <c r="B15" s="373">
        <f>14956871-5000000</f>
        <v>9956871</v>
      </c>
      <c r="C15" s="158">
        <f>B15+(B15*6.25%)</f>
        <v>10579175.4375</v>
      </c>
      <c r="D15" s="158"/>
      <c r="E15" s="158">
        <f t="shared" ref="E15:E21" si="5">C15-D15</f>
        <v>10579175.4375</v>
      </c>
      <c r="F15" s="630">
        <v>0</v>
      </c>
      <c r="G15" s="158">
        <f t="shared" ref="G15:G21" si="6">C15+F15</f>
        <v>10579175.4375</v>
      </c>
      <c r="H15" s="158">
        <f t="shared" ref="H15:H21" si="7">C15+(C15*6.25%)</f>
        <v>11240373.90234375</v>
      </c>
      <c r="I15" s="386">
        <f>H15+(H15*6.25%)</f>
        <v>11942897.271240234</v>
      </c>
    </row>
    <row r="16" spans="1:12" s="563" customFormat="1" x14ac:dyDescent="0.25">
      <c r="A16" s="253" t="s">
        <v>3</v>
      </c>
      <c r="B16" s="373">
        <v>1236849</v>
      </c>
      <c r="C16" s="158">
        <f t="shared" ref="C16:I21" si="8">B16+(B16*6.25%)</f>
        <v>1314152.0625</v>
      </c>
      <c r="D16" s="158"/>
      <c r="E16" s="158">
        <f t="shared" si="5"/>
        <v>1314152.0625</v>
      </c>
      <c r="F16" s="630">
        <v>0</v>
      </c>
      <c r="G16" s="158">
        <f t="shared" si="6"/>
        <v>1314152.0625</v>
      </c>
      <c r="H16" s="158">
        <f t="shared" si="7"/>
        <v>1396286.56640625</v>
      </c>
      <c r="I16" s="386">
        <f t="shared" si="8"/>
        <v>1483554.4768066406</v>
      </c>
    </row>
    <row r="17" spans="1:9" s="563" customFormat="1" x14ac:dyDescent="0.25">
      <c r="A17" s="253" t="s">
        <v>17</v>
      </c>
      <c r="B17" s="373">
        <f>5135139-4000000</f>
        <v>1135139</v>
      </c>
      <c r="C17" s="158">
        <f t="shared" si="8"/>
        <v>1206085.1875</v>
      </c>
      <c r="D17" s="158"/>
      <c r="E17" s="158">
        <f t="shared" si="5"/>
        <v>1206085.1875</v>
      </c>
      <c r="F17" s="630">
        <v>0</v>
      </c>
      <c r="G17" s="158">
        <f t="shared" si="6"/>
        <v>1206085.1875</v>
      </c>
      <c r="H17" s="158">
        <f t="shared" si="7"/>
        <v>1281465.51171875</v>
      </c>
      <c r="I17" s="386">
        <f t="shared" si="8"/>
        <v>1361557.1062011719</v>
      </c>
    </row>
    <row r="18" spans="1:9" s="563" customFormat="1" x14ac:dyDescent="0.25">
      <c r="A18" s="253" t="s">
        <v>172</v>
      </c>
      <c r="B18" s="373">
        <v>1537103</v>
      </c>
      <c r="C18" s="158">
        <f t="shared" si="8"/>
        <v>1633171.9375</v>
      </c>
      <c r="D18" s="158"/>
      <c r="E18" s="158">
        <f t="shared" si="5"/>
        <v>1633171.9375</v>
      </c>
      <c r="F18" s="630">
        <v>0</v>
      </c>
      <c r="G18" s="158">
        <f t="shared" si="6"/>
        <v>1633171.9375</v>
      </c>
      <c r="H18" s="158">
        <f t="shared" si="7"/>
        <v>1735245.18359375</v>
      </c>
      <c r="I18" s="386">
        <f t="shared" si="8"/>
        <v>1843698.0075683594</v>
      </c>
    </row>
    <row r="19" spans="1:9" s="563" customFormat="1" x14ac:dyDescent="0.25">
      <c r="A19" s="253" t="s">
        <v>4</v>
      </c>
      <c r="B19" s="373">
        <v>40446</v>
      </c>
      <c r="C19" s="158">
        <f t="shared" si="8"/>
        <v>42973.875</v>
      </c>
      <c r="D19" s="158"/>
      <c r="E19" s="158">
        <f t="shared" si="5"/>
        <v>42973.875</v>
      </c>
      <c r="F19" s="630">
        <v>0</v>
      </c>
      <c r="G19" s="158">
        <f t="shared" si="6"/>
        <v>42973.875</v>
      </c>
      <c r="H19" s="158">
        <f t="shared" si="7"/>
        <v>45659.7421875</v>
      </c>
      <c r="I19" s="386">
        <f t="shared" si="8"/>
        <v>48513.47607421875</v>
      </c>
    </row>
    <row r="20" spans="1:9" s="563" customFormat="1" x14ac:dyDescent="0.25">
      <c r="A20" s="253" t="s">
        <v>5</v>
      </c>
      <c r="B20" s="373">
        <v>854000</v>
      </c>
      <c r="C20" s="158">
        <f t="shared" si="8"/>
        <v>907375</v>
      </c>
      <c r="D20" s="158"/>
      <c r="E20" s="158">
        <f t="shared" si="5"/>
        <v>907375</v>
      </c>
      <c r="F20" s="630">
        <v>0</v>
      </c>
      <c r="G20" s="158">
        <f t="shared" si="6"/>
        <v>907375</v>
      </c>
      <c r="H20" s="158">
        <f t="shared" si="7"/>
        <v>964085.9375</v>
      </c>
      <c r="I20" s="386">
        <f t="shared" si="8"/>
        <v>1024341.30859375</v>
      </c>
    </row>
    <row r="21" spans="1:9" s="563" customFormat="1" x14ac:dyDescent="0.25">
      <c r="A21" s="253" t="s">
        <v>173</v>
      </c>
      <c r="B21" s="373">
        <v>1462290</v>
      </c>
      <c r="C21" s="158">
        <f t="shared" si="8"/>
        <v>1553683.125</v>
      </c>
      <c r="D21" s="158"/>
      <c r="E21" s="158">
        <f t="shared" si="5"/>
        <v>1553683.125</v>
      </c>
      <c r="F21" s="630">
        <v>0</v>
      </c>
      <c r="G21" s="158">
        <f t="shared" si="6"/>
        <v>1553683.125</v>
      </c>
      <c r="H21" s="158">
        <f t="shared" si="7"/>
        <v>1650788.3203125</v>
      </c>
      <c r="I21" s="386">
        <f t="shared" si="8"/>
        <v>1753962.5903320313</v>
      </c>
    </row>
    <row r="22" spans="1:9" s="563" customFormat="1" x14ac:dyDescent="0.25">
      <c r="A22" s="424" t="s">
        <v>40</v>
      </c>
      <c r="B22" s="246">
        <f>SUM(B15:B21)</f>
        <v>16222698</v>
      </c>
      <c r="C22" s="246">
        <f>SUM(C15:C21)</f>
        <v>17236616.625</v>
      </c>
      <c r="D22" s="246">
        <f t="shared" ref="D22:E22" si="9">SUM(D15:D21)</f>
        <v>0</v>
      </c>
      <c r="E22" s="246">
        <f t="shared" si="9"/>
        <v>17236616.625</v>
      </c>
      <c r="F22" s="246">
        <f t="shared" ref="F22:G22" si="10">SUM(F15:F21)</f>
        <v>0</v>
      </c>
      <c r="G22" s="246">
        <f t="shared" si="10"/>
        <v>17236616.625</v>
      </c>
      <c r="H22" s="246">
        <f>SUM(H15:H21)</f>
        <v>18313905.1640625</v>
      </c>
      <c r="I22" s="387">
        <f>SUM(I15:I21)</f>
        <v>19458524.236816406</v>
      </c>
    </row>
    <row r="23" spans="1:9" s="563" customFormat="1" x14ac:dyDescent="0.25">
      <c r="A23" s="253"/>
      <c r="B23" s="158"/>
      <c r="C23" s="158"/>
      <c r="D23" s="239"/>
      <c r="E23" s="239"/>
      <c r="F23" s="239"/>
      <c r="G23" s="239"/>
      <c r="H23" s="239"/>
      <c r="I23" s="386"/>
    </row>
    <row r="24" spans="1:9" s="563" customFormat="1" x14ac:dyDescent="0.25">
      <c r="A24" s="253" t="s">
        <v>6</v>
      </c>
      <c r="B24" s="373">
        <v>280000</v>
      </c>
      <c r="C24" s="158">
        <f>B24+(B24*6.25%)</f>
        <v>297500</v>
      </c>
      <c r="D24" s="158"/>
      <c r="E24" s="158">
        <f t="shared" ref="E24:E28" si="11">C24-D24</f>
        <v>297500</v>
      </c>
      <c r="F24" s="630">
        <v>0</v>
      </c>
      <c r="G24" s="158">
        <f t="shared" ref="G24:G28" si="12">C24+F24</f>
        <v>297500</v>
      </c>
      <c r="H24" s="158">
        <f>C24+(C24*6.25%)</f>
        <v>316093.75</v>
      </c>
      <c r="I24" s="386">
        <f>H24+(H24*6.25%)</f>
        <v>335849.609375</v>
      </c>
    </row>
    <row r="25" spans="1:9" s="563" customFormat="1" x14ac:dyDescent="0.25">
      <c r="A25" s="253" t="s">
        <v>7</v>
      </c>
      <c r="B25" s="373">
        <v>142822</v>
      </c>
      <c r="C25" s="158">
        <f t="shared" ref="C25:I28" si="13">B25+(B25*6.25%)</f>
        <v>151748.375</v>
      </c>
      <c r="D25" s="158"/>
      <c r="E25" s="158">
        <f t="shared" si="11"/>
        <v>151748.375</v>
      </c>
      <c r="F25" s="630">
        <v>0</v>
      </c>
      <c r="G25" s="158">
        <f t="shared" si="12"/>
        <v>151748.375</v>
      </c>
      <c r="H25" s="158">
        <f>C25+(C25*6.25%)</f>
        <v>161232.6484375</v>
      </c>
      <c r="I25" s="386">
        <f t="shared" si="13"/>
        <v>171309.68896484375</v>
      </c>
    </row>
    <row r="26" spans="1:9" s="563" customFormat="1" x14ac:dyDescent="0.25">
      <c r="A26" s="253" t="s">
        <v>53</v>
      </c>
      <c r="B26" s="373">
        <f>2994516-1000000</f>
        <v>1994516</v>
      </c>
      <c r="C26" s="158">
        <f t="shared" si="13"/>
        <v>2119173.25</v>
      </c>
      <c r="D26" s="158"/>
      <c r="E26" s="158">
        <f t="shared" si="11"/>
        <v>2119173.25</v>
      </c>
      <c r="F26" s="630">
        <v>0</v>
      </c>
      <c r="G26" s="158">
        <f t="shared" si="12"/>
        <v>2119173.25</v>
      </c>
      <c r="H26" s="158">
        <f>C26+(C26*6.25%)</f>
        <v>2251621.578125</v>
      </c>
      <c r="I26" s="386">
        <f t="shared" si="13"/>
        <v>2392347.9267578125</v>
      </c>
    </row>
    <row r="27" spans="1:9" s="563" customFormat="1" x14ac:dyDescent="0.25">
      <c r="A27" s="253" t="s">
        <v>174</v>
      </c>
      <c r="B27" s="373">
        <v>7168</v>
      </c>
      <c r="C27" s="158">
        <f t="shared" si="13"/>
        <v>7616</v>
      </c>
      <c r="D27" s="158"/>
      <c r="E27" s="158">
        <f t="shared" si="11"/>
        <v>7616</v>
      </c>
      <c r="F27" s="630">
        <v>0</v>
      </c>
      <c r="G27" s="158">
        <f t="shared" si="12"/>
        <v>7616</v>
      </c>
      <c r="H27" s="158">
        <f>C27+(C27*6.25%)</f>
        <v>8092</v>
      </c>
      <c r="I27" s="386">
        <f t="shared" si="13"/>
        <v>8597.75</v>
      </c>
    </row>
    <row r="28" spans="1:9" s="563" customFormat="1" x14ac:dyDescent="0.25">
      <c r="A28" s="253" t="s">
        <v>175</v>
      </c>
      <c r="B28" s="373">
        <v>256977</v>
      </c>
      <c r="C28" s="158">
        <f t="shared" si="13"/>
        <v>273038.0625</v>
      </c>
      <c r="D28" s="158"/>
      <c r="E28" s="158">
        <f t="shared" si="11"/>
        <v>273038.0625</v>
      </c>
      <c r="F28" s="630">
        <v>0</v>
      </c>
      <c r="G28" s="158">
        <f t="shared" si="12"/>
        <v>273038.0625</v>
      </c>
      <c r="H28" s="158">
        <f>C28+(C28*6.25%)</f>
        <v>290102.94140625</v>
      </c>
      <c r="I28" s="386">
        <f t="shared" si="13"/>
        <v>308234.37524414063</v>
      </c>
    </row>
    <row r="29" spans="1:9" s="563" customFormat="1" x14ac:dyDescent="0.25">
      <c r="A29" s="253"/>
      <c r="B29" s="373">
        <v>118562</v>
      </c>
      <c r="C29" s="158"/>
      <c r="D29" s="158"/>
      <c r="E29" s="158"/>
      <c r="F29" s="158"/>
      <c r="G29" s="158"/>
      <c r="H29" s="158"/>
      <c r="I29" s="386"/>
    </row>
    <row r="30" spans="1:9" s="563" customFormat="1" ht="15.6" customHeight="1" x14ac:dyDescent="0.25">
      <c r="A30" s="424" t="s">
        <v>41</v>
      </c>
      <c r="B30" s="246">
        <f ca="1">SUM(B24:B52)</f>
        <v>36015940</v>
      </c>
      <c r="C30" s="246">
        <f>SUM(C24:C28)</f>
        <v>2849075.6875</v>
      </c>
      <c r="D30" s="246">
        <f t="shared" ref="D30:E30" si="14">SUM(D24:D28)</f>
        <v>0</v>
      </c>
      <c r="E30" s="246">
        <f t="shared" si="14"/>
        <v>2849075.6875</v>
      </c>
      <c r="F30" s="246">
        <f t="shared" ref="F30:G30" si="15">SUM(F24:F28)</f>
        <v>0</v>
      </c>
      <c r="G30" s="246">
        <f t="shared" si="15"/>
        <v>2849075.6875</v>
      </c>
      <c r="H30" s="246">
        <f>SUM(H24:H28)</f>
        <v>3027142.91796875</v>
      </c>
      <c r="I30" s="387">
        <f>SUM(I24:I28)</f>
        <v>3216339.3503417969</v>
      </c>
    </row>
    <row r="31" spans="1:9" s="563" customFormat="1" x14ac:dyDescent="0.25">
      <c r="A31" s="477"/>
      <c r="B31" s="246"/>
      <c r="C31" s="246"/>
      <c r="D31" s="246"/>
      <c r="E31" s="246"/>
      <c r="F31" s="246"/>
      <c r="G31" s="246"/>
      <c r="H31" s="246"/>
      <c r="I31" s="246"/>
    </row>
    <row r="32" spans="1:9" s="563" customFormat="1" x14ac:dyDescent="0.25">
      <c r="A32" s="477"/>
      <c r="B32" s="246"/>
      <c r="C32" s="246"/>
      <c r="D32" s="351"/>
      <c r="E32" s="351"/>
      <c r="F32" s="351"/>
      <c r="G32" s="351"/>
      <c r="H32" s="351"/>
      <c r="I32" s="386"/>
    </row>
    <row r="33" spans="1:10" s="563" customFormat="1" x14ac:dyDescent="0.25">
      <c r="A33" s="253" t="s">
        <v>244</v>
      </c>
      <c r="B33" s="576">
        <v>5900000</v>
      </c>
      <c r="C33" s="158">
        <f>B33+(B33*6.25%)</f>
        <v>6268750</v>
      </c>
      <c r="D33" s="158"/>
      <c r="E33" s="158">
        <f t="shared" ref="E33" si="16">C33-D33</f>
        <v>6268750</v>
      </c>
      <c r="F33" s="630">
        <v>0</v>
      </c>
      <c r="G33" s="158">
        <f t="shared" ref="G33" si="17">C33+F33</f>
        <v>6268750</v>
      </c>
      <c r="H33" s="158">
        <f>C33+(C33*6.25%)</f>
        <v>6660546.875</v>
      </c>
      <c r="I33" s="386">
        <f>H33+(H33*6.25%)</f>
        <v>7076831.0546875</v>
      </c>
    </row>
    <row r="34" spans="1:10" s="563" customFormat="1" x14ac:dyDescent="0.25">
      <c r="A34" s="424" t="s">
        <v>244</v>
      </c>
      <c r="B34" s="246">
        <f>SUM(B33)</f>
        <v>5900000</v>
      </c>
      <c r="C34" s="246">
        <f>SUM(C33)</f>
        <v>6268750</v>
      </c>
      <c r="D34" s="246">
        <f t="shared" ref="D34:E34" si="18">SUM(D33)</f>
        <v>0</v>
      </c>
      <c r="E34" s="246">
        <f t="shared" si="18"/>
        <v>6268750</v>
      </c>
      <c r="F34" s="246">
        <f t="shared" ref="F34:G34" si="19">SUM(F33)</f>
        <v>0</v>
      </c>
      <c r="G34" s="246">
        <f t="shared" si="19"/>
        <v>6268750</v>
      </c>
      <c r="H34" s="246">
        <f>SUM(H33)</f>
        <v>6660546.875</v>
      </c>
      <c r="I34" s="387">
        <f>SUM(I33)</f>
        <v>7076831.0546875</v>
      </c>
    </row>
    <row r="35" spans="1:10" s="563" customFormat="1" x14ac:dyDescent="0.25">
      <c r="A35" s="253"/>
      <c r="B35" s="158"/>
      <c r="C35" s="158"/>
      <c r="D35" s="239"/>
      <c r="E35" s="239"/>
      <c r="F35" s="239"/>
      <c r="G35" s="239"/>
      <c r="H35" s="239"/>
      <c r="I35" s="386"/>
    </row>
    <row r="36" spans="1:10" s="563" customFormat="1" x14ac:dyDescent="0.25">
      <c r="A36" s="253" t="s">
        <v>198</v>
      </c>
      <c r="B36" s="373">
        <v>1773190</v>
      </c>
      <c r="C36" s="158">
        <f>B36+(B36*6.25%)</f>
        <v>1884014.375</v>
      </c>
      <c r="D36" s="158"/>
      <c r="E36" s="158">
        <f t="shared" ref="E36:E42" si="20">C36-D36</f>
        <v>1884014.375</v>
      </c>
      <c r="F36" s="630">
        <v>0</v>
      </c>
      <c r="G36" s="158">
        <f t="shared" ref="G36:G42" si="21">C36+F36</f>
        <v>1884014.375</v>
      </c>
      <c r="H36" s="158">
        <f t="shared" ref="H36:H42" si="22">C36+(C36*6.25%)</f>
        <v>2001765.2734375</v>
      </c>
      <c r="I36" s="386">
        <f>H36+(H36*6.25%)</f>
        <v>2126875.6030273438</v>
      </c>
    </row>
    <row r="37" spans="1:10" s="563" customFormat="1" x14ac:dyDescent="0.25">
      <c r="A37" s="253" t="s">
        <v>217</v>
      </c>
      <c r="B37" s="373">
        <v>6000</v>
      </c>
      <c r="C37" s="158">
        <f t="shared" ref="C37:I42" si="23">B37+(B37*6.25%)</f>
        <v>6375</v>
      </c>
      <c r="D37" s="158"/>
      <c r="E37" s="158">
        <f t="shared" si="20"/>
        <v>6375</v>
      </c>
      <c r="F37" s="630">
        <v>0</v>
      </c>
      <c r="G37" s="158">
        <f t="shared" si="21"/>
        <v>6375</v>
      </c>
      <c r="H37" s="158">
        <f t="shared" si="22"/>
        <v>6773.4375</v>
      </c>
      <c r="I37" s="386">
        <f t="shared" si="23"/>
        <v>7196.77734375</v>
      </c>
    </row>
    <row r="38" spans="1:10" s="563" customFormat="1" x14ac:dyDescent="0.25">
      <c r="A38" s="253" t="s">
        <v>218</v>
      </c>
      <c r="B38" s="373">
        <v>437693</v>
      </c>
      <c r="C38" s="158">
        <f t="shared" si="23"/>
        <v>465048.8125</v>
      </c>
      <c r="D38" s="158"/>
      <c r="E38" s="158">
        <f t="shared" si="20"/>
        <v>465048.8125</v>
      </c>
      <c r="F38" s="630">
        <v>0</v>
      </c>
      <c r="G38" s="158">
        <f t="shared" si="21"/>
        <v>465048.8125</v>
      </c>
      <c r="H38" s="158">
        <f t="shared" si="22"/>
        <v>494114.36328125</v>
      </c>
      <c r="I38" s="386">
        <f t="shared" si="23"/>
        <v>524996.51098632813</v>
      </c>
    </row>
    <row r="39" spans="1:10" s="563" customFormat="1" x14ac:dyDescent="0.25">
      <c r="A39" s="253" t="s">
        <v>197</v>
      </c>
      <c r="B39" s="373">
        <v>76440</v>
      </c>
      <c r="C39" s="158">
        <f t="shared" si="23"/>
        <v>81217.5</v>
      </c>
      <c r="D39" s="158"/>
      <c r="E39" s="158">
        <f t="shared" si="20"/>
        <v>81217.5</v>
      </c>
      <c r="F39" s="630">
        <v>0</v>
      </c>
      <c r="G39" s="158">
        <f t="shared" si="21"/>
        <v>81217.5</v>
      </c>
      <c r="H39" s="158">
        <f t="shared" si="22"/>
        <v>86293.59375</v>
      </c>
      <c r="I39" s="386">
        <f t="shared" si="23"/>
        <v>91686.943359375</v>
      </c>
    </row>
    <row r="40" spans="1:10" s="563" customFormat="1" x14ac:dyDescent="0.25">
      <c r="A40" s="253" t="s">
        <v>176</v>
      </c>
      <c r="B40" s="373">
        <f>3356371-3000000</f>
        <v>356371</v>
      </c>
      <c r="C40" s="158">
        <f t="shared" si="23"/>
        <v>378644.1875</v>
      </c>
      <c r="D40" s="158"/>
      <c r="E40" s="158">
        <f t="shared" si="20"/>
        <v>378644.1875</v>
      </c>
      <c r="F40" s="630">
        <v>0</v>
      </c>
      <c r="G40" s="158">
        <f t="shared" si="21"/>
        <v>378644.1875</v>
      </c>
      <c r="H40" s="158">
        <f t="shared" si="22"/>
        <v>402309.44921875</v>
      </c>
      <c r="I40" s="386">
        <f t="shared" si="23"/>
        <v>427453.78979492188</v>
      </c>
    </row>
    <row r="41" spans="1:10" s="563" customFormat="1" x14ac:dyDescent="0.25">
      <c r="A41" s="253" t="s">
        <v>20</v>
      </c>
      <c r="B41" s="373">
        <v>994279</v>
      </c>
      <c r="C41" s="158">
        <f t="shared" si="23"/>
        <v>1056421.4375</v>
      </c>
      <c r="D41" s="158"/>
      <c r="E41" s="158">
        <f t="shared" si="20"/>
        <v>1056421.4375</v>
      </c>
      <c r="F41" s="630">
        <v>0</v>
      </c>
      <c r="G41" s="158">
        <f t="shared" si="21"/>
        <v>1056421.4375</v>
      </c>
      <c r="H41" s="158">
        <f t="shared" si="22"/>
        <v>1122447.77734375</v>
      </c>
      <c r="I41" s="386">
        <f t="shared" si="23"/>
        <v>1192600.7634277344</v>
      </c>
    </row>
    <row r="42" spans="1:10" s="563" customFormat="1" x14ac:dyDescent="0.25">
      <c r="A42" s="253" t="s">
        <v>383</v>
      </c>
      <c r="B42" s="373">
        <v>24845</v>
      </c>
      <c r="C42" s="158">
        <f t="shared" si="23"/>
        <v>26397.8125</v>
      </c>
      <c r="D42" s="158"/>
      <c r="E42" s="158">
        <f t="shared" si="20"/>
        <v>26397.8125</v>
      </c>
      <c r="F42" s="630">
        <v>0</v>
      </c>
      <c r="G42" s="158">
        <f t="shared" si="21"/>
        <v>26397.8125</v>
      </c>
      <c r="H42" s="158">
        <f t="shared" si="22"/>
        <v>28047.67578125</v>
      </c>
      <c r="I42" s="386">
        <f t="shared" si="23"/>
        <v>29800.655517578125</v>
      </c>
    </row>
    <row r="43" spans="1:10" s="563" customFormat="1" x14ac:dyDescent="0.25">
      <c r="A43" s="424" t="s">
        <v>43</v>
      </c>
      <c r="B43" s="246">
        <f>SUM(B36:B42)</f>
        <v>3668818</v>
      </c>
      <c r="C43" s="246">
        <f>SUM(C36:C42)</f>
        <v>3898119.125</v>
      </c>
      <c r="D43" s="246">
        <f t="shared" ref="D43:E43" si="24">SUM(D36:D42)</f>
        <v>0</v>
      </c>
      <c r="E43" s="246">
        <f t="shared" si="24"/>
        <v>3898119.125</v>
      </c>
      <c r="F43" s="246">
        <f t="shared" ref="F43:G43" si="25">SUM(F36:F42)</f>
        <v>0</v>
      </c>
      <c r="G43" s="246">
        <f t="shared" si="25"/>
        <v>3898119.125</v>
      </c>
      <c r="H43" s="246">
        <f>SUM(H36:H42)</f>
        <v>4141751.5703125</v>
      </c>
      <c r="I43" s="387">
        <f>SUM(I36:I42)</f>
        <v>4400611.0434570313</v>
      </c>
      <c r="J43" s="577">
        <f>SUM(C43,C75)</f>
        <v>10519748.75</v>
      </c>
    </row>
    <row r="44" spans="1:10" s="563" customFormat="1" x14ac:dyDescent="0.25">
      <c r="A44" s="477"/>
      <c r="B44" s="246"/>
      <c r="C44" s="246"/>
      <c r="D44" s="351"/>
      <c r="E44" s="351"/>
      <c r="F44" s="351"/>
      <c r="G44" s="351"/>
      <c r="H44" s="351"/>
      <c r="I44" s="386">
        <f>H44+(H44*5.4%)</f>
        <v>0</v>
      </c>
    </row>
    <row r="45" spans="1:10" s="563" customFormat="1" x14ac:dyDescent="0.25">
      <c r="A45" s="253" t="s">
        <v>222</v>
      </c>
      <c r="B45" s="576">
        <v>182931</v>
      </c>
      <c r="C45" s="158">
        <f>B45+(B45*6.25%)</f>
        <v>194364.1875</v>
      </c>
      <c r="D45" s="158"/>
      <c r="E45" s="158">
        <f t="shared" ref="E45" si="26">C45-D45</f>
        <v>194364.1875</v>
      </c>
      <c r="F45" s="630">
        <v>0</v>
      </c>
      <c r="G45" s="158">
        <f t="shared" ref="G45" si="27">C45+F45</f>
        <v>194364.1875</v>
      </c>
      <c r="H45" s="158">
        <f>C45+(C45*6.25%)</f>
        <v>206511.94921875</v>
      </c>
      <c r="I45" s="386">
        <f>H45+(H45*6.25%)</f>
        <v>219418.94604492188</v>
      </c>
    </row>
    <row r="46" spans="1:10" s="563" customFormat="1" x14ac:dyDescent="0.25">
      <c r="A46" s="424" t="s">
        <v>223</v>
      </c>
      <c r="B46" s="246">
        <f>SUM(B45)</f>
        <v>182931</v>
      </c>
      <c r="C46" s="246">
        <f>SUM(C45)</f>
        <v>194364.1875</v>
      </c>
      <c r="D46" s="246">
        <f t="shared" ref="D46:E46" si="28">SUM(D45)</f>
        <v>0</v>
      </c>
      <c r="E46" s="246">
        <f t="shared" si="28"/>
        <v>194364.1875</v>
      </c>
      <c r="F46" s="246">
        <f t="shared" ref="F46:G46" si="29">SUM(F45)</f>
        <v>0</v>
      </c>
      <c r="G46" s="246">
        <f t="shared" si="29"/>
        <v>194364.1875</v>
      </c>
      <c r="H46" s="246">
        <f>SUM(H45)</f>
        <v>206511.94921875</v>
      </c>
      <c r="I46" s="387">
        <f>SUM(I45)</f>
        <v>219418.94604492188</v>
      </c>
    </row>
    <row r="47" spans="1:10" s="563" customFormat="1" x14ac:dyDescent="0.25">
      <c r="A47" s="477"/>
      <c r="B47" s="246"/>
      <c r="C47" s="246"/>
      <c r="D47" s="351"/>
      <c r="E47" s="351"/>
      <c r="F47" s="351"/>
      <c r="G47" s="351"/>
      <c r="H47" s="351"/>
      <c r="I47" s="386">
        <f>H47+(H47*5.4%)</f>
        <v>0</v>
      </c>
    </row>
    <row r="48" spans="1:10" s="563" customFormat="1" x14ac:dyDescent="0.25">
      <c r="A48" s="578" t="s">
        <v>386</v>
      </c>
      <c r="B48" s="576">
        <v>5237598</v>
      </c>
      <c r="C48" s="158">
        <f>B48+(B48*6.25%)</f>
        <v>5564947.875</v>
      </c>
      <c r="D48" s="158"/>
      <c r="E48" s="158">
        <f t="shared" ref="E48" si="30">C48-D48</f>
        <v>5564947.875</v>
      </c>
      <c r="F48" s="630">
        <v>0</v>
      </c>
      <c r="G48" s="158">
        <f t="shared" ref="G48" si="31">C48+F48</f>
        <v>5564947.875</v>
      </c>
      <c r="H48" s="158">
        <f>C48+(C48*6.25%)</f>
        <v>5912757.1171875</v>
      </c>
      <c r="I48" s="386">
        <f>H48+(H48*6.25%)</f>
        <v>6282304.4370117188</v>
      </c>
    </row>
    <row r="49" spans="1:9" s="563" customFormat="1" x14ac:dyDescent="0.25">
      <c r="A49" s="579" t="s">
        <v>170</v>
      </c>
      <c r="B49" s="246">
        <f>B48</f>
        <v>5237598</v>
      </c>
      <c r="C49" s="246">
        <f>C48</f>
        <v>5564947.875</v>
      </c>
      <c r="D49" s="246">
        <f t="shared" ref="D49:E49" si="32">D48</f>
        <v>0</v>
      </c>
      <c r="E49" s="246">
        <f t="shared" si="32"/>
        <v>5564947.875</v>
      </c>
      <c r="F49" s="246">
        <f t="shared" ref="F49:G49" si="33">F48</f>
        <v>0</v>
      </c>
      <c r="G49" s="246">
        <f t="shared" si="33"/>
        <v>5564947.875</v>
      </c>
      <c r="H49" s="246">
        <f>H48</f>
        <v>5912757.1171875</v>
      </c>
      <c r="I49" s="387">
        <f>I48</f>
        <v>6282304.4370117188</v>
      </c>
    </row>
    <row r="50" spans="1:9" s="563" customFormat="1" x14ac:dyDescent="0.25">
      <c r="A50" s="581"/>
      <c r="B50" s="246"/>
      <c r="C50" s="246"/>
      <c r="D50" s="351"/>
      <c r="E50" s="351"/>
      <c r="F50" s="351"/>
      <c r="G50" s="351"/>
      <c r="H50" s="351"/>
      <c r="I50" s="387"/>
    </row>
    <row r="51" spans="1:9" s="563" customFormat="1" x14ac:dyDescent="0.25">
      <c r="A51" s="253" t="s">
        <v>195</v>
      </c>
      <c r="B51" s="246"/>
      <c r="C51" s="158">
        <v>125972.125</v>
      </c>
      <c r="D51" s="246"/>
      <c r="E51" s="158">
        <f t="shared" ref="E51:E74" si="34">C51-D51</f>
        <v>125972.125</v>
      </c>
      <c r="F51" s="630">
        <v>0</v>
      </c>
      <c r="G51" s="158">
        <f t="shared" ref="G51:G74" si="35">C51+F51</f>
        <v>125972.125</v>
      </c>
      <c r="H51" s="351">
        <v>133845.3828125</v>
      </c>
      <c r="I51" s="387">
        <v>142210.71923828125</v>
      </c>
    </row>
    <row r="52" spans="1:9" x14ac:dyDescent="0.25">
      <c r="A52" s="253" t="s">
        <v>196</v>
      </c>
      <c r="B52" s="373">
        <v>218578</v>
      </c>
      <c r="C52" s="158">
        <f t="shared" ref="C52:I53" si="36">B52+(B52*6.25%)</f>
        <v>232239.125</v>
      </c>
      <c r="D52" s="158"/>
      <c r="E52" s="158">
        <f t="shared" si="34"/>
        <v>232239.125</v>
      </c>
      <c r="F52" s="630">
        <v>0</v>
      </c>
      <c r="G52" s="158">
        <f t="shared" si="35"/>
        <v>232239.125</v>
      </c>
      <c r="H52" s="158">
        <f>C52+(C52*6.25%)</f>
        <v>246754.0703125</v>
      </c>
      <c r="I52" s="386">
        <f t="shared" si="36"/>
        <v>262176.19970703125</v>
      </c>
    </row>
    <row r="53" spans="1:9" x14ac:dyDescent="0.25">
      <c r="A53" s="578" t="s">
        <v>199</v>
      </c>
      <c r="B53" s="576">
        <v>3494453</v>
      </c>
      <c r="C53" s="158">
        <f t="shared" si="36"/>
        <v>3712856.3125</v>
      </c>
      <c r="D53" s="158"/>
      <c r="E53" s="158">
        <f t="shared" si="34"/>
        <v>3712856.3125</v>
      </c>
      <c r="F53" s="630">
        <v>0</v>
      </c>
      <c r="G53" s="158">
        <f t="shared" si="35"/>
        <v>3712856.3125</v>
      </c>
      <c r="H53" s="158">
        <f>C53+(C53*6.25%)</f>
        <v>3944909.83203125</v>
      </c>
      <c r="I53" s="386">
        <f t="shared" si="36"/>
        <v>4191466.6965332031</v>
      </c>
    </row>
    <row r="54" spans="1:9" x14ac:dyDescent="0.25">
      <c r="A54" s="271" t="s">
        <v>584</v>
      </c>
      <c r="B54" s="373">
        <v>1189808</v>
      </c>
      <c r="C54" s="158">
        <v>1264171</v>
      </c>
      <c r="D54" s="158"/>
      <c r="E54" s="158">
        <f t="shared" si="34"/>
        <v>1264171</v>
      </c>
      <c r="F54" s="630">
        <v>0</v>
      </c>
      <c r="G54" s="158">
        <f t="shared" si="35"/>
        <v>1264171</v>
      </c>
      <c r="H54" s="158">
        <v>1343181.6875</v>
      </c>
      <c r="I54" s="386">
        <v>1427130.54296875</v>
      </c>
    </row>
    <row r="55" spans="1:9" s="563" customFormat="1" x14ac:dyDescent="0.25">
      <c r="A55" s="253" t="s">
        <v>80</v>
      </c>
      <c r="B55" s="373">
        <v>50000</v>
      </c>
      <c r="C55" s="158">
        <f t="shared" ref="C55:I74" si="37">B55+(B55*6.25%)</f>
        <v>53125</v>
      </c>
      <c r="D55" s="158"/>
      <c r="E55" s="158">
        <f t="shared" si="34"/>
        <v>53125</v>
      </c>
      <c r="F55" s="630">
        <v>0</v>
      </c>
      <c r="G55" s="158">
        <f t="shared" si="35"/>
        <v>53125</v>
      </c>
      <c r="H55" s="158">
        <f t="shared" ref="H55:H74" si="38">C55+(C55*6.25%)</f>
        <v>56445.3125</v>
      </c>
      <c r="I55" s="386">
        <f t="shared" si="37"/>
        <v>59973.14453125</v>
      </c>
    </row>
    <row r="56" spans="1:9" s="563" customFormat="1" x14ac:dyDescent="0.25">
      <c r="A56" s="253" t="s">
        <v>62</v>
      </c>
      <c r="B56" s="373">
        <v>7690</v>
      </c>
      <c r="C56" s="158">
        <f t="shared" si="37"/>
        <v>8170.625</v>
      </c>
      <c r="D56" s="158"/>
      <c r="E56" s="158">
        <f t="shared" si="34"/>
        <v>8170.625</v>
      </c>
      <c r="F56" s="630">
        <v>0</v>
      </c>
      <c r="G56" s="158">
        <f t="shared" si="35"/>
        <v>8170.625</v>
      </c>
      <c r="H56" s="158">
        <f t="shared" si="38"/>
        <v>8681.2890625</v>
      </c>
      <c r="I56" s="386">
        <f t="shared" si="37"/>
        <v>9223.86962890625</v>
      </c>
    </row>
    <row r="57" spans="1:9" s="563" customFormat="1" x14ac:dyDescent="0.25">
      <c r="A57" s="253" t="s">
        <v>24</v>
      </c>
      <c r="B57" s="373">
        <v>16327</v>
      </c>
      <c r="C57" s="158">
        <f t="shared" si="37"/>
        <v>17347.4375</v>
      </c>
      <c r="D57" s="158"/>
      <c r="E57" s="158">
        <f t="shared" si="34"/>
        <v>17347.4375</v>
      </c>
      <c r="F57" s="630">
        <v>0</v>
      </c>
      <c r="G57" s="158">
        <f t="shared" si="35"/>
        <v>17347.4375</v>
      </c>
      <c r="H57" s="158">
        <f t="shared" si="38"/>
        <v>18431.65234375</v>
      </c>
      <c r="I57" s="386">
        <f t="shared" si="37"/>
        <v>19583.630615234375</v>
      </c>
    </row>
    <row r="58" spans="1:9" s="563" customFormat="1" x14ac:dyDescent="0.25">
      <c r="A58" s="253" t="s">
        <v>25</v>
      </c>
      <c r="B58" s="373">
        <v>200677</v>
      </c>
      <c r="C58" s="158">
        <f t="shared" si="37"/>
        <v>213219.3125</v>
      </c>
      <c r="D58" s="158"/>
      <c r="E58" s="158">
        <f t="shared" si="34"/>
        <v>213219.3125</v>
      </c>
      <c r="F58" s="630">
        <v>0</v>
      </c>
      <c r="G58" s="158">
        <f t="shared" si="35"/>
        <v>213219.3125</v>
      </c>
      <c r="H58" s="158">
        <f t="shared" si="38"/>
        <v>226545.51953125</v>
      </c>
      <c r="I58" s="386">
        <f t="shared" si="37"/>
        <v>240704.61450195313</v>
      </c>
    </row>
    <row r="59" spans="1:9" s="563" customFormat="1" x14ac:dyDescent="0.25">
      <c r="A59" s="253" t="s">
        <v>264</v>
      </c>
      <c r="B59" s="373">
        <v>291838</v>
      </c>
      <c r="C59" s="158">
        <f t="shared" si="37"/>
        <v>310077.875</v>
      </c>
      <c r="D59" s="158"/>
      <c r="E59" s="158">
        <f t="shared" si="34"/>
        <v>310077.875</v>
      </c>
      <c r="F59" s="630">
        <v>0</v>
      </c>
      <c r="G59" s="158">
        <f t="shared" si="35"/>
        <v>310077.875</v>
      </c>
      <c r="H59" s="158">
        <f t="shared" si="38"/>
        <v>329457.7421875</v>
      </c>
      <c r="I59" s="386">
        <f t="shared" si="37"/>
        <v>350048.85107421875</v>
      </c>
    </row>
    <row r="60" spans="1:9" s="563" customFormat="1" x14ac:dyDescent="0.25">
      <c r="A60" s="253" t="s">
        <v>363</v>
      </c>
      <c r="B60" s="373">
        <v>946</v>
      </c>
      <c r="C60" s="158">
        <f t="shared" si="37"/>
        <v>1005.125</v>
      </c>
      <c r="D60" s="158"/>
      <c r="E60" s="158">
        <f t="shared" si="34"/>
        <v>1005.125</v>
      </c>
      <c r="F60" s="630">
        <v>0</v>
      </c>
      <c r="G60" s="158">
        <f t="shared" si="35"/>
        <v>1005.125</v>
      </c>
      <c r="H60" s="158">
        <f t="shared" si="38"/>
        <v>1067.9453125</v>
      </c>
      <c r="I60" s="386">
        <f t="shared" si="37"/>
        <v>1134.69189453125</v>
      </c>
    </row>
    <row r="61" spans="1:9" s="563" customFormat="1" x14ac:dyDescent="0.25">
      <c r="A61" s="253" t="s">
        <v>364</v>
      </c>
      <c r="B61" s="373">
        <v>5915</v>
      </c>
      <c r="C61" s="158">
        <f t="shared" si="37"/>
        <v>6284.6875</v>
      </c>
      <c r="D61" s="158"/>
      <c r="E61" s="158">
        <f t="shared" si="34"/>
        <v>6284.6875</v>
      </c>
      <c r="F61" s="630">
        <v>0</v>
      </c>
      <c r="G61" s="158">
        <f t="shared" si="35"/>
        <v>6284.6875</v>
      </c>
      <c r="H61" s="158">
        <f t="shared" si="38"/>
        <v>6677.48046875</v>
      </c>
      <c r="I61" s="386">
        <f t="shared" si="37"/>
        <v>7094.822998046875</v>
      </c>
    </row>
    <row r="62" spans="1:9" s="563" customFormat="1" x14ac:dyDescent="0.25">
      <c r="A62" s="253" t="s">
        <v>0</v>
      </c>
      <c r="B62" s="373">
        <v>2000</v>
      </c>
      <c r="C62" s="158">
        <f t="shared" si="37"/>
        <v>2125</v>
      </c>
      <c r="D62" s="158"/>
      <c r="E62" s="158">
        <f t="shared" si="34"/>
        <v>2125</v>
      </c>
      <c r="F62" s="630">
        <v>0</v>
      </c>
      <c r="G62" s="158">
        <f t="shared" si="35"/>
        <v>2125</v>
      </c>
      <c r="H62" s="158">
        <f t="shared" si="38"/>
        <v>2257.8125</v>
      </c>
      <c r="I62" s="386">
        <f t="shared" si="37"/>
        <v>2398.92578125</v>
      </c>
    </row>
    <row r="63" spans="1:9" s="563" customFormat="1" x14ac:dyDescent="0.25">
      <c r="A63" s="271" t="s">
        <v>57</v>
      </c>
      <c r="B63" s="373">
        <v>13281</v>
      </c>
      <c r="C63" s="158">
        <f t="shared" si="37"/>
        <v>14111.0625</v>
      </c>
      <c r="D63" s="158"/>
      <c r="E63" s="158">
        <f t="shared" si="34"/>
        <v>14111.0625</v>
      </c>
      <c r="F63" s="630">
        <v>0</v>
      </c>
      <c r="G63" s="158">
        <f t="shared" si="35"/>
        <v>14111.0625</v>
      </c>
      <c r="H63" s="158">
        <f t="shared" si="38"/>
        <v>14993.00390625</v>
      </c>
      <c r="I63" s="386">
        <f t="shared" si="37"/>
        <v>15930.066650390625</v>
      </c>
    </row>
    <row r="64" spans="1:9" s="563" customFormat="1" x14ac:dyDescent="0.25">
      <c r="A64" s="271" t="s">
        <v>190</v>
      </c>
      <c r="B64" s="373">
        <f>82576/2</f>
        <v>41288</v>
      </c>
      <c r="C64" s="158">
        <f t="shared" si="37"/>
        <v>43868.5</v>
      </c>
      <c r="D64" s="158"/>
      <c r="E64" s="158">
        <f t="shared" si="34"/>
        <v>43868.5</v>
      </c>
      <c r="F64" s="630">
        <v>0</v>
      </c>
      <c r="G64" s="158">
        <f t="shared" si="35"/>
        <v>43868.5</v>
      </c>
      <c r="H64" s="158">
        <f t="shared" si="38"/>
        <v>46610.28125</v>
      </c>
      <c r="I64" s="386">
        <f t="shared" si="37"/>
        <v>49523.423828125</v>
      </c>
    </row>
    <row r="65" spans="1:9" s="563" customFormat="1" x14ac:dyDescent="0.25">
      <c r="A65" s="271" t="s">
        <v>10</v>
      </c>
      <c r="B65" s="373">
        <v>82310</v>
      </c>
      <c r="C65" s="158">
        <f t="shared" si="37"/>
        <v>87454.375</v>
      </c>
      <c r="D65" s="158"/>
      <c r="E65" s="158">
        <f t="shared" si="34"/>
        <v>87454.375</v>
      </c>
      <c r="F65" s="630">
        <v>0</v>
      </c>
      <c r="G65" s="158">
        <f t="shared" si="35"/>
        <v>87454.375</v>
      </c>
      <c r="H65" s="158">
        <f t="shared" si="38"/>
        <v>92920.2734375</v>
      </c>
      <c r="I65" s="386">
        <f t="shared" si="37"/>
        <v>98727.79052734375</v>
      </c>
    </row>
    <row r="66" spans="1:9" s="563" customFormat="1" x14ac:dyDescent="0.25">
      <c r="A66" s="271" t="s">
        <v>203</v>
      </c>
      <c r="B66" s="373">
        <v>2307</v>
      </c>
      <c r="C66" s="158">
        <f t="shared" si="37"/>
        <v>2451.1875</v>
      </c>
      <c r="D66" s="158"/>
      <c r="E66" s="158">
        <f t="shared" si="34"/>
        <v>2451.1875</v>
      </c>
      <c r="F66" s="630">
        <v>0</v>
      </c>
      <c r="G66" s="158">
        <f t="shared" si="35"/>
        <v>2451.1875</v>
      </c>
      <c r="H66" s="158">
        <f t="shared" si="38"/>
        <v>2604.38671875</v>
      </c>
      <c r="I66" s="386">
        <f t="shared" si="37"/>
        <v>2767.160888671875</v>
      </c>
    </row>
    <row r="67" spans="1:9" s="563" customFormat="1" ht="15.6" customHeight="1" x14ac:dyDescent="0.25">
      <c r="A67" s="271" t="s">
        <v>204</v>
      </c>
      <c r="B67" s="373">
        <v>45102</v>
      </c>
      <c r="C67" s="158">
        <f t="shared" si="37"/>
        <v>47920.875</v>
      </c>
      <c r="D67" s="158"/>
      <c r="E67" s="158">
        <f t="shared" si="34"/>
        <v>47920.875</v>
      </c>
      <c r="F67" s="630">
        <v>0</v>
      </c>
      <c r="G67" s="158">
        <f t="shared" si="35"/>
        <v>47920.875</v>
      </c>
      <c r="H67" s="158">
        <f t="shared" si="38"/>
        <v>50915.9296875</v>
      </c>
      <c r="I67" s="386">
        <f t="shared" si="37"/>
        <v>54098.17529296875</v>
      </c>
    </row>
    <row r="68" spans="1:9" s="563" customFormat="1" x14ac:dyDescent="0.25">
      <c r="A68" s="271" t="s">
        <v>207</v>
      </c>
      <c r="B68" s="373">
        <v>50000</v>
      </c>
      <c r="C68" s="158">
        <f t="shared" si="37"/>
        <v>53125</v>
      </c>
      <c r="D68" s="158"/>
      <c r="E68" s="158">
        <f t="shared" si="34"/>
        <v>53125</v>
      </c>
      <c r="F68" s="630">
        <v>0</v>
      </c>
      <c r="G68" s="158">
        <f t="shared" si="35"/>
        <v>53125</v>
      </c>
      <c r="H68" s="158">
        <f t="shared" si="38"/>
        <v>56445.3125</v>
      </c>
      <c r="I68" s="386">
        <f t="shared" si="37"/>
        <v>59973.14453125</v>
      </c>
    </row>
    <row r="69" spans="1:9" s="563" customFormat="1" x14ac:dyDescent="0.25">
      <c r="A69" s="271" t="s">
        <v>221</v>
      </c>
      <c r="B69" s="373">
        <v>4732</v>
      </c>
      <c r="C69" s="158">
        <f t="shared" si="37"/>
        <v>5027.75</v>
      </c>
      <c r="D69" s="158"/>
      <c r="E69" s="158">
        <f t="shared" si="34"/>
        <v>5027.75</v>
      </c>
      <c r="F69" s="630">
        <v>0</v>
      </c>
      <c r="G69" s="158">
        <f t="shared" si="35"/>
        <v>5027.75</v>
      </c>
      <c r="H69" s="158">
        <f t="shared" si="38"/>
        <v>5341.984375</v>
      </c>
      <c r="I69" s="386">
        <f t="shared" si="37"/>
        <v>5675.8583984375</v>
      </c>
    </row>
    <row r="70" spans="1:9" s="563" customFormat="1" x14ac:dyDescent="0.25">
      <c r="A70" s="271" t="s">
        <v>265</v>
      </c>
      <c r="B70" s="373">
        <v>2366</v>
      </c>
      <c r="C70" s="158">
        <f t="shared" si="37"/>
        <v>2513.875</v>
      </c>
      <c r="D70" s="158"/>
      <c r="E70" s="158">
        <f t="shared" si="34"/>
        <v>2513.875</v>
      </c>
      <c r="F70" s="630">
        <v>0</v>
      </c>
      <c r="G70" s="158">
        <f t="shared" si="35"/>
        <v>2513.875</v>
      </c>
      <c r="H70" s="158">
        <f t="shared" si="38"/>
        <v>2670.9921875</v>
      </c>
      <c r="I70" s="386">
        <f t="shared" si="37"/>
        <v>2837.92919921875</v>
      </c>
    </row>
    <row r="71" spans="1:9" s="563" customFormat="1" x14ac:dyDescent="0.25">
      <c r="A71" s="271" t="s">
        <v>215</v>
      </c>
      <c r="B71" s="373">
        <v>1302</v>
      </c>
      <c r="C71" s="158">
        <f t="shared" si="37"/>
        <v>1383.375</v>
      </c>
      <c r="D71" s="158"/>
      <c r="E71" s="158">
        <f t="shared" si="34"/>
        <v>1383.375</v>
      </c>
      <c r="F71" s="630">
        <v>0</v>
      </c>
      <c r="G71" s="158">
        <f t="shared" si="35"/>
        <v>1383.375</v>
      </c>
      <c r="H71" s="158">
        <f t="shared" si="38"/>
        <v>1469.8359375</v>
      </c>
      <c r="I71" s="386">
        <f t="shared" si="37"/>
        <v>1561.70068359375</v>
      </c>
    </row>
    <row r="72" spans="1:9" s="563" customFormat="1" x14ac:dyDescent="0.25">
      <c r="A72" s="271" t="s">
        <v>387</v>
      </c>
      <c r="B72" s="373">
        <v>342384</v>
      </c>
      <c r="C72" s="158">
        <f t="shared" si="37"/>
        <v>363783</v>
      </c>
      <c r="D72" s="158"/>
      <c r="E72" s="158">
        <f t="shared" si="34"/>
        <v>363783</v>
      </c>
      <c r="F72" s="630">
        <v>0</v>
      </c>
      <c r="G72" s="158">
        <f t="shared" si="35"/>
        <v>363783</v>
      </c>
      <c r="H72" s="158">
        <f t="shared" si="38"/>
        <v>386519.4375</v>
      </c>
      <c r="I72" s="386">
        <f t="shared" si="37"/>
        <v>410676.90234375</v>
      </c>
    </row>
    <row r="73" spans="1:9" s="563" customFormat="1" x14ac:dyDescent="0.25">
      <c r="A73" s="271" t="s">
        <v>280</v>
      </c>
      <c r="B73" s="373">
        <v>2130</v>
      </c>
      <c r="C73" s="158">
        <f t="shared" si="37"/>
        <v>2263.125</v>
      </c>
      <c r="D73" s="158"/>
      <c r="E73" s="158">
        <f t="shared" si="34"/>
        <v>2263.125</v>
      </c>
      <c r="F73" s="630">
        <v>0</v>
      </c>
      <c r="G73" s="158">
        <f t="shared" si="35"/>
        <v>2263.125</v>
      </c>
      <c r="H73" s="158">
        <f t="shared" si="38"/>
        <v>2404.5703125</v>
      </c>
      <c r="I73" s="386">
        <f t="shared" si="37"/>
        <v>2554.85595703125</v>
      </c>
    </row>
    <row r="74" spans="1:9" s="563" customFormat="1" x14ac:dyDescent="0.25">
      <c r="A74" s="271" t="s">
        <v>219</v>
      </c>
      <c r="B74" s="373">
        <v>48126</v>
      </c>
      <c r="C74" s="158">
        <f t="shared" si="37"/>
        <v>51133.875</v>
      </c>
      <c r="D74" s="158"/>
      <c r="E74" s="158">
        <f t="shared" si="34"/>
        <v>51133.875</v>
      </c>
      <c r="F74" s="630">
        <v>0</v>
      </c>
      <c r="G74" s="158">
        <f t="shared" si="35"/>
        <v>51133.875</v>
      </c>
      <c r="H74" s="158">
        <f t="shared" si="38"/>
        <v>54329.7421875</v>
      </c>
      <c r="I74" s="386">
        <f t="shared" si="37"/>
        <v>57725.35107421875</v>
      </c>
    </row>
    <row r="75" spans="1:9" x14ac:dyDescent="0.25">
      <c r="A75" s="424" t="s">
        <v>42</v>
      </c>
      <c r="B75" s="246">
        <f>SUM(B53:B74)</f>
        <v>5894982</v>
      </c>
      <c r="C75" s="246">
        <f>SUM(C51:C74)</f>
        <v>6621629.625</v>
      </c>
      <c r="D75" s="246">
        <f t="shared" ref="D75:E75" si="39">SUM(D51:D74)</f>
        <v>0</v>
      </c>
      <c r="E75" s="246">
        <f t="shared" si="39"/>
        <v>6621629.625</v>
      </c>
      <c r="F75" s="246">
        <f t="shared" ref="F75:G75" si="40">SUM(F51:F74)</f>
        <v>0</v>
      </c>
      <c r="G75" s="246">
        <f t="shared" si="40"/>
        <v>6621629.625</v>
      </c>
      <c r="H75" s="246">
        <f>SUM(H51:H74)</f>
        <v>7035481.4765625</v>
      </c>
      <c r="I75" s="246">
        <f>SUM(I51:I74)</f>
        <v>7475199.0688476563</v>
      </c>
    </row>
    <row r="76" spans="1:9" x14ac:dyDescent="0.25">
      <c r="A76" s="253"/>
      <c r="B76" s="243"/>
      <c r="C76" s="243"/>
      <c r="D76" s="243"/>
      <c r="E76" s="243"/>
      <c r="F76" s="243"/>
      <c r="G76" s="243"/>
      <c r="H76" s="243"/>
      <c r="I76" s="386"/>
    </row>
    <row r="77" spans="1:9" s="582" customFormat="1" x14ac:dyDescent="0.25">
      <c r="A77" s="424" t="s">
        <v>46</v>
      </c>
      <c r="B77" s="246">
        <f ca="1">B75+B49+B46+B43+B34+B30+B22</f>
        <v>73122967</v>
      </c>
      <c r="C77" s="246">
        <f>SUM(C31,C34,C43,C46,C49,C75,C30,C22)</f>
        <v>42633503.125</v>
      </c>
      <c r="D77" s="246">
        <f t="shared" ref="D77:E77" si="41">SUM(D31,D34,D43,D46,D49,D75,D30,D22)</f>
        <v>0</v>
      </c>
      <c r="E77" s="246">
        <f t="shared" si="41"/>
        <v>42633503.125</v>
      </c>
      <c r="F77" s="246">
        <f t="shared" ref="F77:G77" si="42">SUM(F31,F34,F43,F46,F49,F75)</f>
        <v>0</v>
      </c>
      <c r="G77" s="246">
        <f t="shared" si="42"/>
        <v>22547810.8125</v>
      </c>
      <c r="H77" s="246">
        <f>SUM(H31,H34,H43,H46,H49,H75)</f>
        <v>23957048.98828125</v>
      </c>
      <c r="I77" s="246">
        <f>SUM(I31,I34,I43,I46,I49,I75)</f>
        <v>25454364.550048828</v>
      </c>
    </row>
    <row r="78" spans="1:9" x14ac:dyDescent="0.25">
      <c r="A78" s="565"/>
      <c r="B78" s="243"/>
      <c r="C78" s="243"/>
      <c r="D78" s="243"/>
      <c r="E78" s="243"/>
      <c r="F78" s="243"/>
      <c r="G78" s="243"/>
      <c r="H78" s="243"/>
      <c r="I78" s="386"/>
    </row>
    <row r="79" spans="1:9" ht="15.75" thickBot="1" x14ac:dyDescent="0.3">
      <c r="A79" s="566" t="s">
        <v>282</v>
      </c>
      <c r="B79" s="392">
        <f ca="1">B77+B13+B9</f>
        <v>10318889</v>
      </c>
      <c r="C79" s="392">
        <f>SUM(C9,C77)</f>
        <v>10963819.5625</v>
      </c>
      <c r="D79" s="392">
        <f t="shared" ref="D79:E79" si="43">SUM(D9,D77)</f>
        <v>0</v>
      </c>
      <c r="E79" s="392">
        <f t="shared" si="43"/>
        <v>10963819.5625</v>
      </c>
      <c r="F79" s="392">
        <f t="shared" ref="F79:G79" si="44">SUM(F9,F77)</f>
        <v>0</v>
      </c>
      <c r="G79" s="392">
        <f t="shared" si="44"/>
        <v>-9121872.75</v>
      </c>
      <c r="H79" s="392">
        <f>SUM(H9,H77)</f>
        <v>-9691989.796875</v>
      </c>
      <c r="I79" s="392">
        <f>SUM(I9,I77)</f>
        <v>-10297739.159179688</v>
      </c>
    </row>
  </sheetData>
  <pageMargins left="0.7" right="0.7" top="0.75" bottom="0.75" header="0.3" footer="0.3"/>
  <pageSetup paperSize="9" scale="40" fitToHeight="2" orientation="landscape" r:id="rId1"/>
  <headerFooter>
    <oddFooter>&amp;C&amp;A&amp;RPage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110</vt:i4>
      </vt:variant>
      <vt:variant>
        <vt:lpstr>Named Ranges</vt:lpstr>
      </vt:variant>
      <vt:variant>
        <vt:i4>29</vt:i4>
      </vt:variant>
    </vt:vector>
  </HeadingPairs>
  <TitlesOfParts>
    <vt:vector size="139" baseType="lpstr">
      <vt:lpstr>COVER</vt:lpstr>
      <vt:lpstr>COVER 1</vt:lpstr>
      <vt:lpstr>SUMMARY PER FUNDING</vt:lpstr>
      <vt:lpstr>ORIGINAL VS ADJUSTED</vt:lpstr>
      <vt:lpstr>comparison</vt:lpstr>
      <vt:lpstr>SUMMARY</vt:lpstr>
      <vt:lpstr>Source of Funding</vt:lpstr>
      <vt:lpstr>Comparison per item</vt:lpstr>
      <vt:lpstr>Comparison per Dept</vt:lpstr>
      <vt:lpstr>COUNCIL</vt:lpstr>
      <vt:lpstr>MM</vt:lpstr>
      <vt:lpstr>CFO</vt:lpstr>
      <vt:lpstr>IA</vt:lpstr>
      <vt:lpstr>Budget and Reporting</vt:lpstr>
      <vt:lpstr>Expenditure</vt:lpstr>
      <vt:lpstr>Revenue Management</vt:lpstr>
      <vt:lpstr>Asset Management</vt:lpstr>
      <vt:lpstr>SCM</vt:lpstr>
      <vt:lpstr>GIS</vt:lpstr>
      <vt:lpstr>Spatial Planning</vt:lpstr>
      <vt:lpstr>P&amp;D</vt:lpstr>
      <vt:lpstr>LED</vt:lpstr>
      <vt:lpstr>IDP</vt:lpstr>
      <vt:lpstr>COMM</vt:lpstr>
      <vt:lpstr>ENGINEERING</vt:lpstr>
      <vt:lpstr>ENGI CAPITAL</vt:lpstr>
      <vt:lpstr>PMU</vt:lpstr>
      <vt:lpstr>PMU PROJECTS</vt:lpstr>
      <vt:lpstr>PMU CAPITAL</vt:lpstr>
      <vt:lpstr>WATER</vt:lpstr>
      <vt:lpstr>WATER (2)</vt:lpstr>
      <vt:lpstr>HEALTH</vt:lpstr>
      <vt:lpstr>ELECTRICAL</vt:lpstr>
      <vt:lpstr>ROADS</vt:lpstr>
      <vt:lpstr>COMMUNITY</vt:lpstr>
      <vt:lpstr>FIRE-BA PHALABORWA</vt:lpstr>
      <vt:lpstr>FIRE-GIYANI</vt:lpstr>
      <vt:lpstr>FIRE-LETABA</vt:lpstr>
      <vt:lpstr>FIRE-TZANEEN</vt:lpstr>
      <vt:lpstr>FIRE -MARULENG</vt:lpstr>
      <vt:lpstr>DISASTER</vt:lpstr>
      <vt:lpstr>CORPORATE</vt:lpstr>
      <vt:lpstr>HR</vt:lpstr>
      <vt:lpstr>ADMIN</vt:lpstr>
      <vt:lpstr>LEGAL</vt:lpstr>
      <vt:lpstr>IT</vt:lpstr>
      <vt:lpstr>IT CAPITAL</vt:lpstr>
      <vt:lpstr>OEM</vt:lpstr>
      <vt:lpstr>SPEAKER</vt:lpstr>
      <vt:lpstr>CHIEF WHIP</vt:lpstr>
      <vt:lpstr>DISABILITY</vt:lpstr>
      <vt:lpstr>SPORTS AND RECREATION</vt:lpstr>
      <vt:lpstr>GENDER</vt:lpstr>
      <vt:lpstr>YOUTH</vt:lpstr>
      <vt:lpstr>ENGINEERING CAPITAL</vt:lpstr>
      <vt:lpstr>Water Rev</vt:lpstr>
      <vt:lpstr>Sheet1</vt:lpstr>
      <vt:lpstr>LULEKANI SEWAGE WORKS</vt:lpstr>
      <vt:lpstr>NAMAKGALE SEWAGE WORKS</vt:lpstr>
      <vt:lpstr>NONDWENI WATER WORKS</vt:lpstr>
      <vt:lpstr>GIYANI WATER WORKS</vt:lpstr>
      <vt:lpstr>MAPUVE WATER WORKS</vt:lpstr>
      <vt:lpstr>MIDDLE LETABA WATER WORKS</vt:lpstr>
      <vt:lpstr>MUYEXE WATER WORKS</vt:lpstr>
      <vt:lpstr>GIYANI SEWAGE WORKS</vt:lpstr>
      <vt:lpstr>IK PONDS</vt:lpstr>
      <vt:lpstr>MODJADJI WATER WORKS</vt:lpstr>
      <vt:lpstr>KURANTA WATER PACKAGE PLANT</vt:lpstr>
      <vt:lpstr>KGAPANE SEWAGE WORKS</vt:lpstr>
      <vt:lpstr>SENWAMOKGOPE SEWAGE WORKS</vt:lpstr>
      <vt:lpstr>NKAMBAKO WATER WORKS</vt:lpstr>
      <vt:lpstr>THAPANE WATER WORKS</vt:lpstr>
      <vt:lpstr>THABINA WATER WORKS</vt:lpstr>
      <vt:lpstr>TOURS WATER WORKS</vt:lpstr>
      <vt:lpstr>SEMARELA WATER WORKS</vt:lpstr>
      <vt:lpstr>NKOWANKOWA WATER WORKS</vt:lpstr>
      <vt:lpstr>LENYENYE PONDS</vt:lpstr>
      <vt:lpstr>NKOWANKOWA SEWAGE WORKS</vt:lpstr>
      <vt:lpstr>THE OAKS WATER WORKS</vt:lpstr>
      <vt:lpstr>FINALE WATER WORKS</vt:lpstr>
      <vt:lpstr>SEKORORO WATER WORKS</vt:lpstr>
      <vt:lpstr>HOEDSPRUIT WATER PACKAGE PLANT</vt:lpstr>
      <vt:lpstr>KASERIE WATER WORKS</vt:lpstr>
      <vt:lpstr>MAMETJA SEKORORO SCHEME</vt:lpstr>
      <vt:lpstr>WATER QUALITY</vt:lpstr>
      <vt:lpstr>ELECTROMECHANICAL</vt:lpstr>
      <vt:lpstr>WORCESTER SCHEME</vt:lpstr>
      <vt:lpstr>SEKGOSESE SCHEME</vt:lpstr>
      <vt:lpstr>LOWER MOLOTOTSI</vt:lpstr>
      <vt:lpstr>SEKGOPO</vt:lpstr>
      <vt:lpstr>GREATER TZN WATER NETWORK</vt:lpstr>
      <vt:lpstr>ZAVA WATER WORKS</vt:lpstr>
      <vt:lpstr>BA PHALABORWA WATER</vt:lpstr>
      <vt:lpstr>BA PHALABORWA SEWER</vt:lpstr>
      <vt:lpstr>GREATER GIYANI WATER</vt:lpstr>
      <vt:lpstr>GREATER GIYANI SEWER</vt:lpstr>
      <vt:lpstr>GREATER LETABA WATER</vt:lpstr>
      <vt:lpstr>GREATER LETABA SEWERAGE</vt:lpstr>
      <vt:lpstr>GREATER TZN WATER PURIFICATION</vt:lpstr>
      <vt:lpstr>GREATER TZANEEN SEWERAGE</vt:lpstr>
      <vt:lpstr>MARULENG WATER &amp; SEWERAGE</vt:lpstr>
      <vt:lpstr>B&amp;T CAPITAL</vt:lpstr>
      <vt:lpstr>Communication CAPITAL</vt:lpstr>
      <vt:lpstr>FIRE CAPITAL</vt:lpstr>
      <vt:lpstr>DISASTER CAPITAL</vt:lpstr>
      <vt:lpstr>ADMINISTRATION CAPITAL</vt:lpstr>
      <vt:lpstr>SUMMARY REVENUE</vt:lpstr>
      <vt:lpstr>REVENUE</vt:lpstr>
      <vt:lpstr>Checks</vt:lpstr>
      <vt:lpstr>Sheet3</vt:lpstr>
      <vt:lpstr>'Asset Management'!Print_Area</vt:lpstr>
      <vt:lpstr>'BA PHALABORWA SEWER'!Print_Area</vt:lpstr>
      <vt:lpstr>'Budget and Reporting'!Print_Area</vt:lpstr>
      <vt:lpstr>CFO!Print_Area</vt:lpstr>
      <vt:lpstr>COMM!Print_Area</vt:lpstr>
      <vt:lpstr>COMMUNITY!Print_Area</vt:lpstr>
      <vt:lpstr>COVER!Print_Area</vt:lpstr>
      <vt:lpstr>'COVER 1'!Print_Area</vt:lpstr>
      <vt:lpstr>DISASTER!Print_Area</vt:lpstr>
      <vt:lpstr>ENGINEERING!Print_Area</vt:lpstr>
      <vt:lpstr>Expenditure!Print_Area</vt:lpstr>
      <vt:lpstr>'FIRE-BA PHALABORWA'!Print_Area</vt:lpstr>
      <vt:lpstr>GIS!Print_Area</vt:lpstr>
      <vt:lpstr>IA!Print_Area</vt:lpstr>
      <vt:lpstr>IDP!Print_Area</vt:lpstr>
      <vt:lpstr>IT!Print_Area</vt:lpstr>
      <vt:lpstr>LED!Print_Area</vt:lpstr>
      <vt:lpstr>LEGAL!Print_Area</vt:lpstr>
      <vt:lpstr>'MARULENG WATER &amp; SEWERAGE'!Print_Area</vt:lpstr>
      <vt:lpstr>'P&amp;D'!Print_Area</vt:lpstr>
      <vt:lpstr>PMU!Print_Area</vt:lpstr>
      <vt:lpstr>'Revenue Management'!Print_Area</vt:lpstr>
      <vt:lpstr>ROADS!Print_Area</vt:lpstr>
      <vt:lpstr>SCM!Print_Area</vt:lpstr>
      <vt:lpstr>'Spatial Planning'!Print_Area</vt:lpstr>
      <vt:lpstr>'SPORTS AND RECREATION'!Print_Area</vt:lpstr>
      <vt:lpstr>'SUMMARY REVENUE'!Print_Area</vt:lpstr>
      <vt:lpstr>WATER!Print_Area</vt:lpstr>
      <vt:lpstr>'WATER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Pootona Ruth</dc:creator>
  <cp:lastModifiedBy>Ruth Pootona</cp:lastModifiedBy>
  <cp:lastPrinted>2021-02-25T13:26:48Z</cp:lastPrinted>
  <dcterms:created xsi:type="dcterms:W3CDTF">2009-08-25T13:42:49Z</dcterms:created>
  <dcterms:modified xsi:type="dcterms:W3CDTF">2021-02-25T13:31:39Z</dcterms:modified>
</cp:coreProperties>
</file>